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40" yWindow="315" windowWidth="19440" windowHeight="11820" firstSheet="7" activeTab="10"/>
  </bookViews>
  <sheets>
    <sheet name="Read me" sheetId="13" r:id="rId1"/>
    <sheet name="Max phone - no sibs" sheetId="3" r:id="rId2"/>
    <sheet name="Parameters" sheetId="1" r:id="rId3"/>
    <sheet name="F2F with sibs" sheetId="4" r:id="rId4"/>
    <sheet name="Cases &amp; costs over time" sheetId="5" r:id="rId5"/>
    <sheet name="Recruitment" sheetId="6" r:id="rId6"/>
    <sheet name="Duncan fertility" sheetId="7" r:id="rId7"/>
    <sheet name="Fun Fertility Facts" sheetId="8" r:id="rId8"/>
    <sheet name="NCS Recruitment 250 hosp 5 prov" sheetId="9" r:id="rId9"/>
    <sheet name="Recruitment Travel" sheetId="10" r:id="rId10"/>
    <sheet name="Cost year 1-7 what-if" sheetId="12" r:id="rId11"/>
  </sheets>
  <externalReferences>
    <externalReference r:id="rId12"/>
    <externalReference r:id="rId13"/>
  </externalReferences>
  <definedNames>
    <definedName name="Budget_Pricing">'[1]Budget Pricing'!$F$51</definedName>
    <definedName name="FEERATE">'[1]Federal CPFF'!$G$68</definedName>
    <definedName name="GANDA">'[1]Federal CPFF'!$G$66</definedName>
  </definedNames>
  <calcPr calcId="145621"/>
</workbook>
</file>

<file path=xl/calcChain.xml><?xml version="1.0" encoding="utf-8"?>
<calcChain xmlns="http://schemas.openxmlformats.org/spreadsheetml/2006/main">
  <c r="E11" i="5" l="1"/>
  <c r="R209" i="12" l="1"/>
  <c r="R208" i="12"/>
  <c r="R207" i="12"/>
  <c r="R206" i="12"/>
  <c r="R205" i="12"/>
  <c r="R204" i="12"/>
  <c r="R203" i="12"/>
  <c r="R210" i="12" s="1"/>
  <c r="V210" i="12"/>
  <c r="X210" i="12"/>
  <c r="G5" i="12" l="1"/>
  <c r="B6" i="1" l="1"/>
  <c r="X208" i="12" l="1"/>
  <c r="X207" i="12"/>
  <c r="X206" i="12"/>
  <c r="X205" i="12"/>
  <c r="X204" i="12"/>
  <c r="X209" i="12"/>
  <c r="Q209" i="12" l="1"/>
  <c r="P209" i="12"/>
  <c r="O209" i="12"/>
  <c r="N209" i="12"/>
  <c r="M209" i="12"/>
  <c r="L209" i="12"/>
  <c r="Q208" i="12"/>
  <c r="P208" i="12"/>
  <c r="O208" i="12"/>
  <c r="N208" i="12"/>
  <c r="M208" i="12"/>
  <c r="L208" i="12"/>
  <c r="Q207" i="12"/>
  <c r="P207" i="12"/>
  <c r="O207" i="12"/>
  <c r="N207" i="12"/>
  <c r="M207" i="12"/>
  <c r="L207" i="12"/>
  <c r="Q206" i="12"/>
  <c r="P206" i="12"/>
  <c r="O206" i="12"/>
  <c r="N206" i="12"/>
  <c r="M206" i="12"/>
  <c r="L206" i="12"/>
  <c r="Q205" i="12"/>
  <c r="P205" i="12"/>
  <c r="O205" i="12"/>
  <c r="N205" i="12"/>
  <c r="M205" i="12"/>
  <c r="L205" i="12"/>
  <c r="Q204" i="12"/>
  <c r="P204" i="12"/>
  <c r="O204" i="12"/>
  <c r="N204" i="12"/>
  <c r="M204" i="12"/>
  <c r="L204" i="12"/>
  <c r="Q203" i="12"/>
  <c r="P203" i="12"/>
  <c r="O203" i="12"/>
  <c r="N203" i="12"/>
  <c r="M203" i="12"/>
  <c r="L203" i="12"/>
  <c r="K209" i="12"/>
  <c r="K208" i="12"/>
  <c r="K207" i="12"/>
  <c r="K206" i="12"/>
  <c r="K205" i="12"/>
  <c r="K204" i="12"/>
  <c r="K203" i="12"/>
  <c r="M210" i="12" l="1"/>
  <c r="V205" i="12" s="1"/>
  <c r="Q210" i="12"/>
  <c r="V209" i="12" s="1"/>
  <c r="N210" i="12"/>
  <c r="V206" i="12" s="1"/>
  <c r="L210" i="12"/>
  <c r="V204" i="12" s="1"/>
  <c r="P210" i="12"/>
  <c r="V208" i="12" s="1"/>
  <c r="O210" i="12"/>
  <c r="V207" i="12" s="1"/>
  <c r="P75" i="9"/>
  <c r="AA78" i="9"/>
  <c r="AA8" i="9"/>
  <c r="AA20" i="9" s="1"/>
  <c r="C46" i="9"/>
  <c r="C32" i="9"/>
  <c r="C26" i="9"/>
  <c r="B141" i="9"/>
  <c r="B133" i="9"/>
  <c r="AA38" i="9"/>
  <c r="AA32" i="9"/>
  <c r="AA51" i="9"/>
  <c r="AA45" i="9"/>
  <c r="AB15" i="9"/>
  <c r="AA15" i="9"/>
  <c r="C77" i="9"/>
  <c r="C73" i="9"/>
  <c r="C50" i="9"/>
  <c r="C29" i="9"/>
  <c r="G65" i="9"/>
  <c r="G57" i="9"/>
  <c r="AA31" i="9" l="1"/>
  <c r="P8" i="9"/>
  <c r="P32" i="9" s="1"/>
  <c r="C24" i="9"/>
  <c r="C17" i="9"/>
  <c r="P19" i="9" l="1"/>
  <c r="F20" i="10"/>
  <c r="F64" i="10" s="1"/>
  <c r="F16" i="10"/>
  <c r="F60" i="10" s="1"/>
  <c r="F17" i="10"/>
  <c r="F61" i="10" s="1"/>
  <c r="F22" i="10"/>
  <c r="F66" i="10" s="1"/>
  <c r="AB1" i="9"/>
  <c r="Q1" i="9" s="1"/>
  <c r="AC178" i="9"/>
  <c r="AC176" i="9"/>
  <c r="AC175" i="9"/>
  <c r="AC173" i="9"/>
  <c r="AC172" i="9"/>
  <c r="AC168" i="9"/>
  <c r="AC167" i="9"/>
  <c r="AC164" i="9"/>
  <c r="AC161" i="9"/>
  <c r="AC160" i="9"/>
  <c r="AC158" i="9"/>
  <c r="AC156" i="9"/>
  <c r="AC151" i="9"/>
  <c r="AC149" i="9"/>
  <c r="AC146" i="9"/>
  <c r="AC145" i="9"/>
  <c r="AC141" i="9"/>
  <c r="AC140" i="9"/>
  <c r="AC139" i="9"/>
  <c r="AC138" i="9"/>
  <c r="AC137" i="9"/>
  <c r="AC135" i="9"/>
  <c r="AC132" i="9"/>
  <c r="AC131" i="9"/>
  <c r="AC129" i="9"/>
  <c r="AC123" i="9"/>
  <c r="AC121" i="9"/>
  <c r="AC120" i="9"/>
  <c r="AC119" i="9"/>
  <c r="AC118" i="9"/>
  <c r="AC117" i="9"/>
  <c r="AC116" i="9"/>
  <c r="AC115" i="9"/>
  <c r="AC114" i="9"/>
  <c r="AC113" i="9"/>
  <c r="AC112" i="9"/>
  <c r="AC111" i="9"/>
  <c r="AC110" i="9"/>
  <c r="AC109" i="9"/>
  <c r="AC108" i="9"/>
  <c r="AC107" i="9"/>
  <c r="AC106" i="9"/>
  <c r="AC105" i="9"/>
  <c r="AC104" i="9"/>
  <c r="AC103" i="9"/>
  <c r="AC102" i="9"/>
  <c r="AC101" i="9"/>
  <c r="AC100" i="9"/>
  <c r="AC99" i="9"/>
  <c r="AC98" i="9"/>
  <c r="AC97" i="9"/>
  <c r="AC96" i="9"/>
  <c r="AC95" i="9"/>
  <c r="AC94" i="9"/>
  <c r="AC93" i="9"/>
  <c r="AC92" i="9"/>
  <c r="AC91" i="9"/>
  <c r="AC90" i="9"/>
  <c r="AC89" i="9"/>
  <c r="AC88" i="9"/>
  <c r="AC87" i="9"/>
  <c r="AC86" i="9"/>
  <c r="AC85" i="9"/>
  <c r="AC84" i="9"/>
  <c r="AC83" i="9"/>
  <c r="AC82" i="9"/>
  <c r="AC81" i="9"/>
  <c r="AC78" i="9"/>
  <c r="AC77" i="9"/>
  <c r="AC72" i="9"/>
  <c r="AC69" i="9"/>
  <c r="AC67" i="9"/>
  <c r="AC63" i="9"/>
  <c r="AC61" i="9"/>
  <c r="AC58" i="9"/>
  <c r="AC54" i="9"/>
  <c r="AC53" i="9"/>
  <c r="AC51" i="9"/>
  <c r="AC50" i="9"/>
  <c r="AC47" i="9"/>
  <c r="AC45" i="9"/>
  <c r="AC44" i="9"/>
  <c r="AC43" i="9"/>
  <c r="AC41" i="9"/>
  <c r="AC39" i="9"/>
  <c r="AC38" i="9"/>
  <c r="AC36" i="9"/>
  <c r="AC35" i="9"/>
  <c r="AC33" i="9"/>
  <c r="AC32" i="9"/>
  <c r="AC30" i="9"/>
  <c r="AC29" i="9"/>
  <c r="AC27" i="9"/>
  <c r="AC26" i="9"/>
  <c r="AC24" i="9"/>
  <c r="AC22" i="9"/>
  <c r="AC21" i="9"/>
  <c r="AC19" i="9"/>
  <c r="AC18" i="9"/>
  <c r="AC15" i="9"/>
  <c r="AC14" i="9"/>
  <c r="AC13" i="9"/>
  <c r="AC12" i="9"/>
  <c r="R178" i="9"/>
  <c r="R176" i="9"/>
  <c r="R175" i="9"/>
  <c r="R173" i="9"/>
  <c r="R172" i="9"/>
  <c r="R168" i="9"/>
  <c r="R167" i="9"/>
  <c r="R165" i="9"/>
  <c r="R163" i="9"/>
  <c r="R161" i="9"/>
  <c r="R160" i="9"/>
  <c r="R158" i="9"/>
  <c r="R156" i="9"/>
  <c r="R151" i="9"/>
  <c r="R149" i="9"/>
  <c r="R146" i="9"/>
  <c r="R145" i="9"/>
  <c r="R143" i="9"/>
  <c r="R138" i="9"/>
  <c r="R137" i="9"/>
  <c r="R135" i="9"/>
  <c r="R132" i="9"/>
  <c r="R131" i="9"/>
  <c r="R129" i="9"/>
  <c r="R124" i="9"/>
  <c r="R123" i="9"/>
  <c r="R121" i="9"/>
  <c r="R120" i="9"/>
  <c r="R119" i="9"/>
  <c r="R118" i="9"/>
  <c r="R117" i="9"/>
  <c r="R116" i="9"/>
  <c r="R115" i="9"/>
  <c r="R114" i="9"/>
  <c r="R113" i="9"/>
  <c r="R112" i="9"/>
  <c r="R111" i="9"/>
  <c r="R110" i="9"/>
  <c r="R109" i="9"/>
  <c r="R108" i="9"/>
  <c r="R107" i="9"/>
  <c r="R106" i="9"/>
  <c r="R105" i="9"/>
  <c r="R104" i="9"/>
  <c r="R103" i="9"/>
  <c r="R102" i="9"/>
  <c r="R101" i="9"/>
  <c r="R100" i="9"/>
  <c r="R99" i="9"/>
  <c r="R98" i="9"/>
  <c r="R97" i="9"/>
  <c r="R96" i="9"/>
  <c r="R95" i="9"/>
  <c r="R94" i="9"/>
  <c r="R93" i="9"/>
  <c r="R92" i="9"/>
  <c r="R91" i="9"/>
  <c r="R90" i="9"/>
  <c r="R89" i="9"/>
  <c r="R88" i="9"/>
  <c r="R87" i="9"/>
  <c r="R86" i="9"/>
  <c r="R85" i="9"/>
  <c r="R84" i="9"/>
  <c r="R83" i="9"/>
  <c r="R82" i="9"/>
  <c r="R81" i="9"/>
  <c r="R80" i="9"/>
  <c r="R79" i="9"/>
  <c r="R78" i="9"/>
  <c r="R74" i="9"/>
  <c r="R69" i="9"/>
  <c r="R67" i="9"/>
  <c r="R66" i="9"/>
  <c r="R65" i="9"/>
  <c r="R64" i="9"/>
  <c r="R60" i="9"/>
  <c r="R55" i="9"/>
  <c r="R53" i="9"/>
  <c r="R52" i="9"/>
  <c r="R51" i="9"/>
  <c r="R50" i="9"/>
  <c r="R49" i="9"/>
  <c r="R47" i="9"/>
  <c r="R46" i="9"/>
  <c r="R45" i="9"/>
  <c r="R43" i="9"/>
  <c r="R41" i="9"/>
  <c r="R40" i="9"/>
  <c r="R39" i="9"/>
  <c r="R37" i="9"/>
  <c r="R35" i="9"/>
  <c r="R34" i="9"/>
  <c r="R33" i="9"/>
  <c r="R31" i="9"/>
  <c r="R30" i="9"/>
  <c r="R28" i="9"/>
  <c r="R27" i="9"/>
  <c r="R26" i="9"/>
  <c r="R24" i="9"/>
  <c r="R22" i="9"/>
  <c r="R21" i="9"/>
  <c r="R20" i="9"/>
  <c r="R18" i="9"/>
  <c r="R17" i="9"/>
  <c r="R14" i="9"/>
  <c r="R13" i="9"/>
  <c r="R12" i="9"/>
  <c r="G164" i="9"/>
  <c r="C164" i="9"/>
  <c r="W7" i="9"/>
  <c r="W124" i="9"/>
  <c r="W80" i="9"/>
  <c r="W73" i="9"/>
  <c r="W70" i="9"/>
  <c r="W68" i="9"/>
  <c r="W65" i="9"/>
  <c r="W64" i="9"/>
  <c r="W59" i="9"/>
  <c r="W62" i="9" s="1"/>
  <c r="W46" i="9"/>
  <c r="W40" i="9"/>
  <c r="W34" i="9"/>
  <c r="W28" i="9"/>
  <c r="W6" i="9"/>
  <c r="W49" i="9" s="1"/>
  <c r="W52" i="9" s="1"/>
  <c r="W126" i="9" s="1"/>
  <c r="AE156" i="9"/>
  <c r="Y84" i="10"/>
  <c r="P84" i="10"/>
  <c r="I84" i="10"/>
  <c r="H84" i="10"/>
  <c r="G84" i="10"/>
  <c r="F84" i="10"/>
  <c r="W84" i="10" s="1"/>
  <c r="E84" i="10"/>
  <c r="D84" i="10"/>
  <c r="C84" i="10"/>
  <c r="B84" i="10"/>
  <c r="A84" i="10"/>
  <c r="Y83" i="10"/>
  <c r="P83" i="10"/>
  <c r="I83" i="10"/>
  <c r="H83" i="10"/>
  <c r="G83" i="10"/>
  <c r="F83" i="10"/>
  <c r="W83" i="10" s="1"/>
  <c r="E83" i="10"/>
  <c r="D83" i="10"/>
  <c r="C83" i="10"/>
  <c r="B83" i="10"/>
  <c r="A83" i="10"/>
  <c r="Y82" i="10"/>
  <c r="P82" i="10"/>
  <c r="I82" i="10"/>
  <c r="H82" i="10"/>
  <c r="G82" i="10"/>
  <c r="F82" i="10"/>
  <c r="W82" i="10" s="1"/>
  <c r="E82" i="10"/>
  <c r="D82" i="10"/>
  <c r="C82" i="10"/>
  <c r="B82" i="10"/>
  <c r="A82" i="10"/>
  <c r="Y81" i="10"/>
  <c r="P81" i="10"/>
  <c r="I81" i="10"/>
  <c r="H81" i="10"/>
  <c r="G81" i="10"/>
  <c r="F81" i="10"/>
  <c r="W81" i="10" s="1"/>
  <c r="E81" i="10"/>
  <c r="D81" i="10"/>
  <c r="C81" i="10"/>
  <c r="B81" i="10"/>
  <c r="A81" i="10"/>
  <c r="Y80" i="10"/>
  <c r="P80" i="10"/>
  <c r="I80" i="10"/>
  <c r="H80" i="10"/>
  <c r="G80" i="10"/>
  <c r="F80" i="10"/>
  <c r="W80" i="10" s="1"/>
  <c r="E80" i="10"/>
  <c r="D80" i="10"/>
  <c r="C80" i="10"/>
  <c r="B80" i="10"/>
  <c r="A80" i="10"/>
  <c r="Y79" i="10"/>
  <c r="P79" i="10"/>
  <c r="I79" i="10"/>
  <c r="H79" i="10"/>
  <c r="G79" i="10"/>
  <c r="F79" i="10"/>
  <c r="W79" i="10" s="1"/>
  <c r="E79" i="10"/>
  <c r="D79" i="10"/>
  <c r="C79" i="10"/>
  <c r="B79" i="10"/>
  <c r="A79" i="10"/>
  <c r="Y78" i="10"/>
  <c r="P78" i="10"/>
  <c r="I78" i="10"/>
  <c r="H78" i="10"/>
  <c r="G78" i="10"/>
  <c r="F78" i="10"/>
  <c r="W78" i="10" s="1"/>
  <c r="E78" i="10"/>
  <c r="D78" i="10"/>
  <c r="C78" i="10"/>
  <c r="B78" i="10"/>
  <c r="A78" i="10"/>
  <c r="Y77" i="10"/>
  <c r="P77" i="10"/>
  <c r="I77" i="10"/>
  <c r="H77" i="10"/>
  <c r="G77" i="10"/>
  <c r="F77" i="10"/>
  <c r="W77" i="10" s="1"/>
  <c r="E77" i="10"/>
  <c r="D77" i="10"/>
  <c r="C77" i="10"/>
  <c r="B77" i="10"/>
  <c r="A77" i="10"/>
  <c r="Y76" i="10"/>
  <c r="P76" i="10"/>
  <c r="I76" i="10"/>
  <c r="H76" i="10"/>
  <c r="G76" i="10"/>
  <c r="F76" i="10"/>
  <c r="W76" i="10" s="1"/>
  <c r="E76" i="10"/>
  <c r="D76" i="10"/>
  <c r="C76" i="10"/>
  <c r="B76" i="10"/>
  <c r="A76" i="10"/>
  <c r="Y75" i="10"/>
  <c r="P75" i="10"/>
  <c r="I75" i="10"/>
  <c r="H75" i="10"/>
  <c r="G75" i="10"/>
  <c r="F75" i="10"/>
  <c r="W75" i="10" s="1"/>
  <c r="E75" i="10"/>
  <c r="D75" i="10"/>
  <c r="C75" i="10"/>
  <c r="B75" i="10"/>
  <c r="A75" i="10"/>
  <c r="Y74" i="10"/>
  <c r="P74" i="10"/>
  <c r="I74" i="10"/>
  <c r="H74" i="10"/>
  <c r="G74" i="10"/>
  <c r="F74" i="10"/>
  <c r="W74" i="10" s="1"/>
  <c r="E74" i="10"/>
  <c r="D74" i="10"/>
  <c r="C74" i="10"/>
  <c r="B74" i="10"/>
  <c r="A74" i="10"/>
  <c r="Y73" i="10"/>
  <c r="P73" i="10"/>
  <c r="I73" i="10"/>
  <c r="H73" i="10"/>
  <c r="G73" i="10"/>
  <c r="F73" i="10"/>
  <c r="W73" i="10" s="1"/>
  <c r="E73" i="10"/>
  <c r="D73" i="10"/>
  <c r="C73" i="10"/>
  <c r="B73" i="10"/>
  <c r="A73" i="10"/>
  <c r="Y72" i="10"/>
  <c r="P72" i="10"/>
  <c r="I72" i="10"/>
  <c r="H72" i="10"/>
  <c r="G72" i="10"/>
  <c r="E72" i="10"/>
  <c r="D72" i="10"/>
  <c r="C72" i="10"/>
  <c r="B72" i="10"/>
  <c r="A72" i="10"/>
  <c r="Y71" i="10"/>
  <c r="P71" i="10"/>
  <c r="I71" i="10"/>
  <c r="H71" i="10"/>
  <c r="G71" i="10"/>
  <c r="E71" i="10"/>
  <c r="D71" i="10"/>
  <c r="C71" i="10"/>
  <c r="B71" i="10"/>
  <c r="A71" i="10"/>
  <c r="Y70" i="10"/>
  <c r="P70" i="10"/>
  <c r="I70" i="10"/>
  <c r="H70" i="10"/>
  <c r="G70" i="10"/>
  <c r="E70" i="10"/>
  <c r="D70" i="10"/>
  <c r="C70" i="10"/>
  <c r="B70" i="10"/>
  <c r="A70" i="10"/>
  <c r="Y69" i="10"/>
  <c r="P69" i="10"/>
  <c r="I69" i="10"/>
  <c r="H69" i="10"/>
  <c r="G69" i="10"/>
  <c r="E69" i="10"/>
  <c r="D69" i="10"/>
  <c r="C69" i="10"/>
  <c r="B69" i="10"/>
  <c r="A69" i="10"/>
  <c r="Y68" i="10"/>
  <c r="P68" i="10"/>
  <c r="I68" i="10"/>
  <c r="H68" i="10"/>
  <c r="G68" i="10"/>
  <c r="E68" i="10"/>
  <c r="D68" i="10"/>
  <c r="C68" i="10"/>
  <c r="B68" i="10"/>
  <c r="A68" i="10"/>
  <c r="Y67" i="10"/>
  <c r="P67" i="10"/>
  <c r="I67" i="10"/>
  <c r="H67" i="10"/>
  <c r="G67" i="10"/>
  <c r="E67" i="10"/>
  <c r="D67" i="10"/>
  <c r="C67" i="10"/>
  <c r="B67" i="10"/>
  <c r="A67" i="10"/>
  <c r="Y66" i="10"/>
  <c r="P66" i="10"/>
  <c r="I66" i="10"/>
  <c r="H66" i="10"/>
  <c r="G66" i="10"/>
  <c r="E66" i="10"/>
  <c r="D66" i="10"/>
  <c r="C66" i="10"/>
  <c r="B66" i="10"/>
  <c r="A66" i="10"/>
  <c r="Y65" i="10"/>
  <c r="P65" i="10"/>
  <c r="I65" i="10"/>
  <c r="E65" i="10"/>
  <c r="D65" i="10"/>
  <c r="C65" i="10"/>
  <c r="B65" i="10"/>
  <c r="A65" i="10"/>
  <c r="Y64" i="10"/>
  <c r="P64" i="10"/>
  <c r="I64" i="10"/>
  <c r="H64" i="10"/>
  <c r="E64" i="10"/>
  <c r="D64" i="10"/>
  <c r="C64" i="10"/>
  <c r="B64" i="10"/>
  <c r="A64" i="10"/>
  <c r="Y63" i="10"/>
  <c r="P63" i="10"/>
  <c r="I63" i="10"/>
  <c r="H63" i="10"/>
  <c r="G63" i="10"/>
  <c r="E63" i="10"/>
  <c r="D63" i="10"/>
  <c r="C63" i="10"/>
  <c r="B63" i="10"/>
  <c r="A63" i="10"/>
  <c r="Y62" i="10"/>
  <c r="P62" i="10"/>
  <c r="I62" i="10"/>
  <c r="H62" i="10"/>
  <c r="E62" i="10"/>
  <c r="D62" i="10"/>
  <c r="C62" i="10"/>
  <c r="B62" i="10"/>
  <c r="A62" i="10"/>
  <c r="Y61" i="10"/>
  <c r="P61" i="10"/>
  <c r="I61" i="10"/>
  <c r="H61" i="10"/>
  <c r="E61" i="10"/>
  <c r="D61" i="10"/>
  <c r="C61" i="10"/>
  <c r="B61" i="10"/>
  <c r="A61" i="10"/>
  <c r="Y60" i="10"/>
  <c r="P60" i="10"/>
  <c r="I60" i="10"/>
  <c r="H60" i="10"/>
  <c r="E60" i="10"/>
  <c r="D60" i="10"/>
  <c r="C60" i="10"/>
  <c r="B60" i="10"/>
  <c r="A60" i="10"/>
  <c r="Y59" i="10"/>
  <c r="P59" i="10"/>
  <c r="I59" i="10"/>
  <c r="H59" i="10"/>
  <c r="G59" i="10"/>
  <c r="E59" i="10"/>
  <c r="D59" i="10"/>
  <c r="C59" i="10"/>
  <c r="B59" i="10"/>
  <c r="A59" i="10"/>
  <c r="E49" i="10"/>
  <c r="E48" i="10"/>
  <c r="Z40" i="10"/>
  <c r="AA40" i="10" s="1"/>
  <c r="W40" i="10"/>
  <c r="U40" i="10"/>
  <c r="S40" i="10"/>
  <c r="Q40" i="10"/>
  <c r="O40" i="10"/>
  <c r="M40" i="10"/>
  <c r="K40" i="10"/>
  <c r="Z39" i="10"/>
  <c r="AA39" i="10" s="1"/>
  <c r="W39" i="10"/>
  <c r="U39" i="10"/>
  <c r="S39" i="10"/>
  <c r="Q39" i="10"/>
  <c r="O39" i="10"/>
  <c r="M39" i="10"/>
  <c r="K39" i="10"/>
  <c r="Z38" i="10"/>
  <c r="AA38" i="10" s="1"/>
  <c r="W38" i="10"/>
  <c r="U38" i="10"/>
  <c r="S38" i="10"/>
  <c r="Q38" i="10"/>
  <c r="O38" i="10"/>
  <c r="M38" i="10"/>
  <c r="K38" i="10"/>
  <c r="Z37" i="10"/>
  <c r="AA37" i="10" s="1"/>
  <c r="W37" i="10"/>
  <c r="U37" i="10"/>
  <c r="S37" i="10"/>
  <c r="Q37" i="10"/>
  <c r="O37" i="10"/>
  <c r="M37" i="10"/>
  <c r="K37" i="10"/>
  <c r="Z36" i="10"/>
  <c r="AA36" i="10" s="1"/>
  <c r="W36" i="10"/>
  <c r="U36" i="10"/>
  <c r="S36" i="10"/>
  <c r="Q36" i="10"/>
  <c r="O36" i="10"/>
  <c r="M36" i="10"/>
  <c r="K36" i="10"/>
  <c r="Z35" i="10"/>
  <c r="AA35" i="10" s="1"/>
  <c r="W35" i="10"/>
  <c r="U35" i="10"/>
  <c r="S35" i="10"/>
  <c r="Q35" i="10"/>
  <c r="O35" i="10"/>
  <c r="M35" i="10"/>
  <c r="K35" i="10"/>
  <c r="Z34" i="10"/>
  <c r="AA34" i="10" s="1"/>
  <c r="W34" i="10"/>
  <c r="U34" i="10"/>
  <c r="S34" i="10"/>
  <c r="Q34" i="10"/>
  <c r="O34" i="10"/>
  <c r="M34" i="10"/>
  <c r="K34" i="10"/>
  <c r="Z33" i="10"/>
  <c r="AA33" i="10" s="1"/>
  <c r="W33" i="10"/>
  <c r="U33" i="10"/>
  <c r="S33" i="10"/>
  <c r="Q33" i="10"/>
  <c r="O33" i="10"/>
  <c r="M33" i="10"/>
  <c r="K33" i="10"/>
  <c r="Z32" i="10"/>
  <c r="AA32" i="10" s="1"/>
  <c r="W32" i="10"/>
  <c r="U32" i="10"/>
  <c r="S32" i="10"/>
  <c r="Q32" i="10"/>
  <c r="O32" i="10"/>
  <c r="M32" i="10"/>
  <c r="K32" i="10"/>
  <c r="Z31" i="10"/>
  <c r="AA31" i="10" s="1"/>
  <c r="W31" i="10"/>
  <c r="U31" i="10"/>
  <c r="S31" i="10"/>
  <c r="Q31" i="10"/>
  <c r="O31" i="10"/>
  <c r="M31" i="10"/>
  <c r="K31" i="10"/>
  <c r="Z30" i="10"/>
  <c r="AA30" i="10" s="1"/>
  <c r="W30" i="10"/>
  <c r="U30" i="10"/>
  <c r="S30" i="10"/>
  <c r="Q30" i="10"/>
  <c r="O30" i="10"/>
  <c r="M30" i="10"/>
  <c r="K30" i="10"/>
  <c r="Z29" i="10"/>
  <c r="AA29" i="10" s="1"/>
  <c r="W29" i="10"/>
  <c r="U29" i="10"/>
  <c r="S29" i="10"/>
  <c r="Q29" i="10"/>
  <c r="O29" i="10"/>
  <c r="M29" i="10"/>
  <c r="K29" i="10"/>
  <c r="Z28" i="10"/>
  <c r="W28" i="10"/>
  <c r="U28" i="10"/>
  <c r="J28" i="10"/>
  <c r="Z27" i="10"/>
  <c r="AA27" i="10" s="1"/>
  <c r="W27" i="10"/>
  <c r="U27" i="10"/>
  <c r="S27" i="10"/>
  <c r="Z26" i="10"/>
  <c r="U26" i="10"/>
  <c r="J26" i="10"/>
  <c r="Z25" i="10"/>
  <c r="W25" i="10"/>
  <c r="U25" i="10"/>
  <c r="J25" i="10"/>
  <c r="Z24" i="10"/>
  <c r="AA24" i="10" s="1"/>
  <c r="W24" i="10"/>
  <c r="U24" i="10"/>
  <c r="S24" i="10"/>
  <c r="Z23" i="10"/>
  <c r="U23" i="10"/>
  <c r="J23" i="10"/>
  <c r="Z22" i="10"/>
  <c r="U22" i="10"/>
  <c r="J22" i="10"/>
  <c r="Z21" i="10"/>
  <c r="U21" i="10"/>
  <c r="J21" i="10"/>
  <c r="H21" i="10"/>
  <c r="H65" i="10" s="1"/>
  <c r="G21" i="10"/>
  <c r="G65" i="10" s="1"/>
  <c r="Z20" i="10"/>
  <c r="U20" i="10"/>
  <c r="J20" i="10"/>
  <c r="G20" i="10"/>
  <c r="G64" i="10" s="1"/>
  <c r="Z19" i="10"/>
  <c r="U19" i="10"/>
  <c r="J19" i="10"/>
  <c r="Z18" i="10"/>
  <c r="U18" i="10"/>
  <c r="J18" i="10"/>
  <c r="G18" i="10"/>
  <c r="G62" i="10" s="1"/>
  <c r="Z17" i="10"/>
  <c r="U17" i="10"/>
  <c r="J17" i="10"/>
  <c r="G17" i="10"/>
  <c r="G61" i="10" s="1"/>
  <c r="Z16" i="10"/>
  <c r="U16" i="10"/>
  <c r="J16" i="10"/>
  <c r="G16" i="10"/>
  <c r="G60" i="10" s="1"/>
  <c r="Z15" i="10"/>
  <c r="U15" i="10"/>
  <c r="J15" i="10"/>
  <c r="P25" i="9" l="1"/>
  <c r="T48" i="9"/>
  <c r="T37" i="9"/>
  <c r="AA37" i="9" s="1"/>
  <c r="J59" i="10"/>
  <c r="J63" i="10"/>
  <c r="Q73" i="10"/>
  <c r="J65" i="10"/>
  <c r="AB31" i="10"/>
  <c r="J69" i="10"/>
  <c r="J70" i="10"/>
  <c r="AB35" i="10"/>
  <c r="Q81" i="10"/>
  <c r="Q80" i="10"/>
  <c r="AB39" i="10"/>
  <c r="W125" i="9"/>
  <c r="W127" i="9" s="1"/>
  <c r="W66" i="9"/>
  <c r="W71" i="9"/>
  <c r="W74" i="9" s="1"/>
  <c r="T7" i="9"/>
  <c r="T31" i="9"/>
  <c r="T42" i="9"/>
  <c r="T60" i="9"/>
  <c r="AA60" i="9" s="1"/>
  <c r="T163" i="9"/>
  <c r="AA163" i="9" s="1"/>
  <c r="AC163" i="9" s="1"/>
  <c r="T11" i="9"/>
  <c r="AA11" i="9" s="1"/>
  <c r="AC11" i="9" s="1"/>
  <c r="T25" i="9"/>
  <c r="Q76" i="10"/>
  <c r="Q77" i="10"/>
  <c r="Q84" i="10"/>
  <c r="AB29" i="10"/>
  <c r="AB33" i="10"/>
  <c r="AB37" i="10"/>
  <c r="J60" i="10"/>
  <c r="K60" i="10" s="1"/>
  <c r="AA16" i="10"/>
  <c r="J61" i="10"/>
  <c r="K61" i="10" s="1"/>
  <c r="J62" i="10"/>
  <c r="J64" i="10"/>
  <c r="K64" i="10" s="1"/>
  <c r="J66" i="10"/>
  <c r="K66" i="10" s="1"/>
  <c r="J67" i="10"/>
  <c r="J72" i="10"/>
  <c r="Q74" i="10"/>
  <c r="Q75" i="10"/>
  <c r="Q78" i="10"/>
  <c r="Q79" i="10"/>
  <c r="Q82" i="10"/>
  <c r="Q83" i="10"/>
  <c r="AA20" i="10"/>
  <c r="AA48" i="9"/>
  <c r="AC48" i="9" s="1"/>
  <c r="AC31" i="9"/>
  <c r="AA42" i="9"/>
  <c r="AC42" i="9" s="1"/>
  <c r="AB30" i="10"/>
  <c r="AB32" i="10"/>
  <c r="AB34" i="10"/>
  <c r="AB36" i="10"/>
  <c r="AB38" i="10"/>
  <c r="AB40" i="10"/>
  <c r="W16" i="9"/>
  <c r="W17" i="9" s="1"/>
  <c r="W20" i="9" s="1"/>
  <c r="W23" i="9" s="1"/>
  <c r="U42" i="10"/>
  <c r="N64" i="10"/>
  <c r="O64" i="10" s="1"/>
  <c r="L64" i="10"/>
  <c r="M64" i="10" s="1"/>
  <c r="X63" i="10"/>
  <c r="Z63" i="10" s="1"/>
  <c r="V63" i="10"/>
  <c r="T63" i="10"/>
  <c r="R63" i="10"/>
  <c r="N63" i="10"/>
  <c r="L63" i="10"/>
  <c r="X62" i="10"/>
  <c r="Z62" i="10" s="1"/>
  <c r="V62" i="10"/>
  <c r="T62" i="10"/>
  <c r="R62" i="10"/>
  <c r="N62" i="10"/>
  <c r="L62" i="10"/>
  <c r="X61" i="10"/>
  <c r="Z61" i="10" s="1"/>
  <c r="AA61" i="10" s="1"/>
  <c r="V61" i="10"/>
  <c r="W61" i="10" s="1"/>
  <c r="T61" i="10"/>
  <c r="U61" i="10" s="1"/>
  <c r="R61" i="10"/>
  <c r="S61" i="10" s="1"/>
  <c r="N61" i="10"/>
  <c r="O61" i="10" s="1"/>
  <c r="L61" i="10"/>
  <c r="M61" i="10" s="1"/>
  <c r="X60" i="10"/>
  <c r="Z60" i="10" s="1"/>
  <c r="AA60" i="10" s="1"/>
  <c r="V60" i="10"/>
  <c r="W60" i="10" s="1"/>
  <c r="T60" i="10"/>
  <c r="U60" i="10" s="1"/>
  <c r="R60" i="10"/>
  <c r="S60" i="10" s="1"/>
  <c r="N60" i="10"/>
  <c r="O60" i="10" s="1"/>
  <c r="L60" i="10"/>
  <c r="M60" i="10" s="1"/>
  <c r="X59" i="10"/>
  <c r="Z59" i="10" s="1"/>
  <c r="V59" i="10"/>
  <c r="M16" i="10"/>
  <c r="Q16" i="10"/>
  <c r="Q60" i="10" s="1"/>
  <c r="K17" i="10"/>
  <c r="O17" i="10"/>
  <c r="S17" i="10"/>
  <c r="W17" i="10"/>
  <c r="AA17" i="10"/>
  <c r="K20" i="10"/>
  <c r="O20" i="10"/>
  <c r="S20" i="10"/>
  <c r="W20" i="10"/>
  <c r="K22" i="10"/>
  <c r="O22" i="10"/>
  <c r="S22" i="10"/>
  <c r="W22" i="10"/>
  <c r="AA22" i="10"/>
  <c r="N59" i="10"/>
  <c r="R59" i="10"/>
  <c r="K16" i="10"/>
  <c r="O16" i="10"/>
  <c r="S16" i="10"/>
  <c r="W16" i="10"/>
  <c r="M17" i="10"/>
  <c r="Q17" i="10"/>
  <c r="Q61" i="10" s="1"/>
  <c r="M20" i="10"/>
  <c r="Q20" i="10"/>
  <c r="Q64" i="10" s="1"/>
  <c r="M22" i="10"/>
  <c r="Q22" i="10"/>
  <c r="Q66" i="10" s="1"/>
  <c r="X84" i="10"/>
  <c r="Z84" i="10" s="1"/>
  <c r="AA84" i="10" s="1"/>
  <c r="L59" i="10"/>
  <c r="T59" i="10"/>
  <c r="S73" i="10"/>
  <c r="U73" i="10"/>
  <c r="S74" i="10"/>
  <c r="U74" i="10"/>
  <c r="S75" i="10"/>
  <c r="U75" i="10"/>
  <c r="S76" i="10"/>
  <c r="U76" i="10"/>
  <c r="S77" i="10"/>
  <c r="U77" i="10"/>
  <c r="S78" i="10"/>
  <c r="U78" i="10"/>
  <c r="S79" i="10"/>
  <c r="U79" i="10"/>
  <c r="S80" i="10"/>
  <c r="U80" i="10"/>
  <c r="S81" i="10"/>
  <c r="U81" i="10"/>
  <c r="S82" i="10"/>
  <c r="U82" i="10"/>
  <c r="S83" i="10"/>
  <c r="U83" i="10"/>
  <c r="S84" i="10"/>
  <c r="U84" i="10"/>
  <c r="R64" i="10"/>
  <c r="S64" i="10" s="1"/>
  <c r="T64" i="10"/>
  <c r="U64" i="10" s="1"/>
  <c r="V64" i="10"/>
  <c r="W64" i="10" s="1"/>
  <c r="X64" i="10"/>
  <c r="Z64" i="10" s="1"/>
  <c r="AA64" i="10" s="1"/>
  <c r="L65" i="10"/>
  <c r="N65" i="10"/>
  <c r="R65" i="10"/>
  <c r="T65" i="10"/>
  <c r="V65" i="10"/>
  <c r="X65" i="10"/>
  <c r="Z65" i="10" s="1"/>
  <c r="L66" i="10"/>
  <c r="M66" i="10" s="1"/>
  <c r="N66" i="10"/>
  <c r="O66" i="10" s="1"/>
  <c r="R66" i="10"/>
  <c r="S66" i="10" s="1"/>
  <c r="T66" i="10"/>
  <c r="U66" i="10" s="1"/>
  <c r="V66" i="10"/>
  <c r="W66" i="10" s="1"/>
  <c r="X66" i="10"/>
  <c r="Z66" i="10" s="1"/>
  <c r="AA66" i="10" s="1"/>
  <c r="L67" i="10"/>
  <c r="N67" i="10"/>
  <c r="R67" i="10"/>
  <c r="T67" i="10"/>
  <c r="V67" i="10"/>
  <c r="X67" i="10"/>
  <c r="Z67" i="10" s="1"/>
  <c r="J68" i="10"/>
  <c r="L68" i="10"/>
  <c r="N68" i="10"/>
  <c r="R68" i="10"/>
  <c r="T68" i="10"/>
  <c r="V68" i="10"/>
  <c r="X68" i="10"/>
  <c r="Z68" i="10" s="1"/>
  <c r="AA68" i="10" s="1"/>
  <c r="L69" i="10"/>
  <c r="N69" i="10"/>
  <c r="R69" i="10"/>
  <c r="T69" i="10"/>
  <c r="V69" i="10"/>
  <c r="X69" i="10"/>
  <c r="Z69" i="10" s="1"/>
  <c r="L70" i="10"/>
  <c r="N70" i="10"/>
  <c r="R70" i="10"/>
  <c r="T70" i="10"/>
  <c r="V70" i="10"/>
  <c r="X70" i="10"/>
  <c r="Z70" i="10" s="1"/>
  <c r="J71" i="10"/>
  <c r="L71" i="10"/>
  <c r="N71" i="10"/>
  <c r="R71" i="10"/>
  <c r="T71" i="10"/>
  <c r="V71" i="10"/>
  <c r="X71" i="10"/>
  <c r="Z71" i="10" s="1"/>
  <c r="AA71" i="10" s="1"/>
  <c r="L72" i="10"/>
  <c r="N72" i="10"/>
  <c r="R72" i="10"/>
  <c r="T72" i="10"/>
  <c r="V72" i="10"/>
  <c r="X72" i="10"/>
  <c r="Z72" i="10" s="1"/>
  <c r="J73" i="10"/>
  <c r="K73" i="10" s="1"/>
  <c r="L73" i="10"/>
  <c r="M73" i="10" s="1"/>
  <c r="N73" i="10"/>
  <c r="O73" i="10" s="1"/>
  <c r="R73" i="10"/>
  <c r="T73" i="10"/>
  <c r="V73" i="10"/>
  <c r="X73" i="10"/>
  <c r="Z73" i="10" s="1"/>
  <c r="AA73" i="10" s="1"/>
  <c r="J74" i="10"/>
  <c r="K74" i="10" s="1"/>
  <c r="L74" i="10"/>
  <c r="M74" i="10" s="1"/>
  <c r="N74" i="10"/>
  <c r="O74" i="10" s="1"/>
  <c r="R74" i="10"/>
  <c r="T74" i="10"/>
  <c r="V74" i="10"/>
  <c r="X74" i="10"/>
  <c r="Z74" i="10" s="1"/>
  <c r="AA74" i="10" s="1"/>
  <c r="J75" i="10"/>
  <c r="K75" i="10" s="1"/>
  <c r="L75" i="10"/>
  <c r="M75" i="10" s="1"/>
  <c r="N75" i="10"/>
  <c r="O75" i="10" s="1"/>
  <c r="R75" i="10"/>
  <c r="T75" i="10"/>
  <c r="V75" i="10"/>
  <c r="X75" i="10"/>
  <c r="Z75" i="10" s="1"/>
  <c r="AA75" i="10" s="1"/>
  <c r="J76" i="10"/>
  <c r="K76" i="10" s="1"/>
  <c r="L76" i="10"/>
  <c r="M76" i="10" s="1"/>
  <c r="N76" i="10"/>
  <c r="O76" i="10" s="1"/>
  <c r="R76" i="10"/>
  <c r="T76" i="10"/>
  <c r="V76" i="10"/>
  <c r="X76" i="10"/>
  <c r="Z76" i="10" s="1"/>
  <c r="AA76" i="10" s="1"/>
  <c r="J77" i="10"/>
  <c r="K77" i="10" s="1"/>
  <c r="L77" i="10"/>
  <c r="M77" i="10" s="1"/>
  <c r="N77" i="10"/>
  <c r="O77" i="10" s="1"/>
  <c r="R77" i="10"/>
  <c r="T77" i="10"/>
  <c r="V77" i="10"/>
  <c r="X77" i="10"/>
  <c r="Z77" i="10" s="1"/>
  <c r="AA77" i="10" s="1"/>
  <c r="J78" i="10"/>
  <c r="K78" i="10" s="1"/>
  <c r="L78" i="10"/>
  <c r="M78" i="10" s="1"/>
  <c r="N78" i="10"/>
  <c r="O78" i="10" s="1"/>
  <c r="R78" i="10"/>
  <c r="T78" i="10"/>
  <c r="V78" i="10"/>
  <c r="X78" i="10"/>
  <c r="Z78" i="10" s="1"/>
  <c r="AA78" i="10" s="1"/>
  <c r="J79" i="10"/>
  <c r="K79" i="10" s="1"/>
  <c r="L79" i="10"/>
  <c r="M79" i="10" s="1"/>
  <c r="N79" i="10"/>
  <c r="O79" i="10" s="1"/>
  <c r="R79" i="10"/>
  <c r="T79" i="10"/>
  <c r="V79" i="10"/>
  <c r="X79" i="10"/>
  <c r="Z79" i="10" s="1"/>
  <c r="AA79" i="10" s="1"/>
  <c r="J80" i="10"/>
  <c r="K80" i="10" s="1"/>
  <c r="L80" i="10"/>
  <c r="M80" i="10" s="1"/>
  <c r="N80" i="10"/>
  <c r="O80" i="10" s="1"/>
  <c r="R80" i="10"/>
  <c r="T80" i="10"/>
  <c r="V80" i="10"/>
  <c r="X80" i="10"/>
  <c r="Z80" i="10" s="1"/>
  <c r="AA80" i="10" s="1"/>
  <c r="J81" i="10"/>
  <c r="K81" i="10" s="1"/>
  <c r="L81" i="10"/>
  <c r="M81" i="10" s="1"/>
  <c r="N81" i="10"/>
  <c r="O81" i="10" s="1"/>
  <c r="R81" i="10"/>
  <c r="T81" i="10"/>
  <c r="V81" i="10"/>
  <c r="X81" i="10"/>
  <c r="Z81" i="10" s="1"/>
  <c r="AA81" i="10" s="1"/>
  <c r="J82" i="10"/>
  <c r="K82" i="10" s="1"/>
  <c r="L82" i="10"/>
  <c r="M82" i="10" s="1"/>
  <c r="N82" i="10"/>
  <c r="O82" i="10" s="1"/>
  <c r="R82" i="10"/>
  <c r="T82" i="10"/>
  <c r="V82" i="10"/>
  <c r="X82" i="10"/>
  <c r="Z82" i="10" s="1"/>
  <c r="AA82" i="10" s="1"/>
  <c r="J83" i="10"/>
  <c r="K83" i="10" s="1"/>
  <c r="L83" i="10"/>
  <c r="M83" i="10" s="1"/>
  <c r="N83" i="10"/>
  <c r="O83" i="10" s="1"/>
  <c r="R83" i="10"/>
  <c r="T83" i="10"/>
  <c r="V83" i="10"/>
  <c r="X83" i="10"/>
  <c r="Z83" i="10" s="1"/>
  <c r="AA83" i="10" s="1"/>
  <c r="J84" i="10"/>
  <c r="K84" i="10" s="1"/>
  <c r="L84" i="10"/>
  <c r="M84" i="10" s="1"/>
  <c r="N84" i="10"/>
  <c r="O84" i="10" s="1"/>
  <c r="R84" i="10"/>
  <c r="T84" i="10"/>
  <c r="V84" i="10"/>
  <c r="AA25" i="9" l="1"/>
  <c r="AC25" i="9" s="1"/>
  <c r="F23" i="10"/>
  <c r="R25" i="9"/>
  <c r="W76" i="9"/>
  <c r="T20" i="9"/>
  <c r="AC20" i="9" s="1"/>
  <c r="W75" i="9"/>
  <c r="W147" i="9"/>
  <c r="AC37" i="9"/>
  <c r="F28" i="10"/>
  <c r="AC60" i="9"/>
  <c r="AA165" i="9"/>
  <c r="AC165" i="9" s="1"/>
  <c r="W133" i="9"/>
  <c r="W57" i="9"/>
  <c r="W55" i="9"/>
  <c r="W152" i="9" s="1"/>
  <c r="W56" i="9"/>
  <c r="AB83" i="10"/>
  <c r="AB81" i="10"/>
  <c r="AB79" i="10"/>
  <c r="AB77" i="10"/>
  <c r="AB75" i="10"/>
  <c r="AB73" i="10"/>
  <c r="AB84" i="10"/>
  <c r="AB82" i="10"/>
  <c r="AB80" i="10"/>
  <c r="AB78" i="10"/>
  <c r="AB76" i="10"/>
  <c r="AB74" i="10"/>
  <c r="AB64" i="10"/>
  <c r="AB61" i="10"/>
  <c r="AB22" i="10"/>
  <c r="AB17" i="10"/>
  <c r="AB60" i="10"/>
  <c r="AB16" i="10"/>
  <c r="AB20" i="10"/>
  <c r="AB66" i="10"/>
  <c r="W154" i="9" l="1"/>
  <c r="O23" i="10"/>
  <c r="Q23" i="10"/>
  <c r="Q67" i="10" s="1"/>
  <c r="K23" i="10"/>
  <c r="W23" i="10"/>
  <c r="F67" i="10"/>
  <c r="M23" i="10"/>
  <c r="S23" i="10"/>
  <c r="AA23" i="10"/>
  <c r="W153" i="9"/>
  <c r="F26" i="10"/>
  <c r="Q26" i="10" s="1"/>
  <c r="Q70" i="10" s="1"/>
  <c r="O28" i="10"/>
  <c r="Q28" i="10"/>
  <c r="Q72" i="10" s="1"/>
  <c r="S28" i="10"/>
  <c r="F72" i="10"/>
  <c r="M28" i="10"/>
  <c r="K28" i="10"/>
  <c r="AA28" i="10"/>
  <c r="S67" i="10" l="1"/>
  <c r="AA67" i="10"/>
  <c r="U67" i="10"/>
  <c r="O67" i="10"/>
  <c r="M67" i="10"/>
  <c r="W67" i="10"/>
  <c r="K67" i="10"/>
  <c r="AB23" i="10"/>
  <c r="W26" i="10"/>
  <c r="F70" i="10"/>
  <c r="AA70" i="10" s="1"/>
  <c r="K26" i="10"/>
  <c r="S26" i="10"/>
  <c r="AA26" i="10"/>
  <c r="M26" i="10"/>
  <c r="O26" i="10"/>
  <c r="AB28" i="10"/>
  <c r="U72" i="10"/>
  <c r="O72" i="10"/>
  <c r="M72" i="10"/>
  <c r="AA72" i="10"/>
  <c r="W72" i="10"/>
  <c r="S72" i="10"/>
  <c r="K72" i="10"/>
  <c r="AB67" i="10" l="1"/>
  <c r="O70" i="10"/>
  <c r="M70" i="10"/>
  <c r="S70" i="10"/>
  <c r="U70" i="10"/>
  <c r="K70" i="10"/>
  <c r="AB26" i="10"/>
  <c r="W70" i="10"/>
  <c r="AB72" i="10"/>
  <c r="AB70" i="10" l="1"/>
  <c r="P164" i="9" l="1"/>
  <c r="R164" i="9" s="1"/>
  <c r="K7" i="9"/>
  <c r="L44" i="9" s="1"/>
  <c r="K75" i="9"/>
  <c r="K77" i="9" s="1"/>
  <c r="K174" i="9" s="1"/>
  <c r="K177" i="9" s="1"/>
  <c r="K70" i="9"/>
  <c r="K68" i="9"/>
  <c r="K62" i="9"/>
  <c r="K61" i="9"/>
  <c r="K56" i="9"/>
  <c r="K54" i="9"/>
  <c r="K126" i="9" s="1"/>
  <c r="K48" i="9"/>
  <c r="K42" i="9"/>
  <c r="K29" i="9"/>
  <c r="K15" i="9"/>
  <c r="K16" i="9" s="1"/>
  <c r="K6" i="9"/>
  <c r="CO77" i="9"/>
  <c r="CO79" i="9" s="1"/>
  <c r="CO72" i="9"/>
  <c r="CO70" i="9"/>
  <c r="CO64" i="9"/>
  <c r="CO63" i="9"/>
  <c r="CO58" i="9"/>
  <c r="CO56" i="9"/>
  <c r="CO50" i="9"/>
  <c r="CO44" i="9"/>
  <c r="CO34" i="9"/>
  <c r="CO38" i="9" s="1"/>
  <c r="CO31" i="9"/>
  <c r="CO21" i="9"/>
  <c r="CO25" i="9" s="1"/>
  <c r="CO17" i="9"/>
  <c r="CO18" i="9" s="1"/>
  <c r="CS12" i="9"/>
  <c r="R75" i="9"/>
  <c r="G80" i="9"/>
  <c r="G90" i="9"/>
  <c r="K125" i="9" l="1"/>
  <c r="K127" i="9" s="1"/>
  <c r="K63" i="9"/>
  <c r="K73" i="9" s="1"/>
  <c r="K154" i="9" s="1"/>
  <c r="L38" i="9"/>
  <c r="P38" i="9" s="1"/>
  <c r="CO65" i="9"/>
  <c r="CO75" i="9" s="1"/>
  <c r="C68" i="9"/>
  <c r="K147" i="9" l="1"/>
  <c r="K71" i="9"/>
  <c r="K152" i="9" s="1"/>
  <c r="K72" i="9"/>
  <c r="K153" i="9" s="1"/>
  <c r="CO74" i="9"/>
  <c r="CO73" i="9"/>
  <c r="G35" i="9"/>
  <c r="E138" i="12" l="1"/>
  <c r="B180" i="12" l="1"/>
  <c r="B183" i="12" s="1"/>
  <c r="B179" i="12"/>
  <c r="B182" i="12" s="1"/>
  <c r="C180" i="12"/>
  <c r="C183" i="12" s="1"/>
  <c r="C186" i="12" s="1"/>
  <c r="C189" i="12" s="1"/>
  <c r="C192" i="12" s="1"/>
  <c r="C195" i="12" s="1"/>
  <c r="C179" i="12"/>
  <c r="C182" i="12" s="1"/>
  <c r="C185" i="12" s="1"/>
  <c r="C188" i="12" s="1"/>
  <c r="C191" i="12" s="1"/>
  <c r="C194" i="12" s="1"/>
  <c r="N163" i="12"/>
  <c r="M163" i="12"/>
  <c r="H163" i="12"/>
  <c r="G163" i="12"/>
  <c r="Y166" i="12"/>
  <c r="Y164" i="12"/>
  <c r="Y162" i="12"/>
  <c r="F138" i="12"/>
  <c r="Y137" i="12"/>
  <c r="Y136" i="12"/>
  <c r="Y111" i="12"/>
  <c r="Y102" i="12"/>
  <c r="Y101" i="12"/>
  <c r="Y100" i="12"/>
  <c r="Y99" i="12"/>
  <c r="Y98" i="12"/>
  <c r="Y97" i="12"/>
  <c r="Y95" i="12"/>
  <c r="Y94" i="12"/>
  <c r="X68" i="12"/>
  <c r="W68" i="12"/>
  <c r="T48" i="12"/>
  <c r="T56" i="12" s="1"/>
  <c r="S48" i="12"/>
  <c r="N30" i="12"/>
  <c r="N38" i="12" s="1"/>
  <c r="M30" i="12"/>
  <c r="D25" i="12"/>
  <c r="D88" i="12" s="1"/>
  <c r="D24" i="12"/>
  <c r="D42" i="12" s="1"/>
  <c r="C18" i="12"/>
  <c r="D147" i="12" s="1"/>
  <c r="Z147" i="12" s="1"/>
  <c r="F14" i="12"/>
  <c r="F22" i="12" s="1"/>
  <c r="E14" i="12"/>
  <c r="X75" i="12" l="1"/>
  <c r="X76" i="12"/>
  <c r="Z167" i="12"/>
  <c r="C6" i="12" s="1"/>
  <c r="K210" i="12"/>
  <c r="V203" i="12" s="1"/>
  <c r="D163" i="12"/>
  <c r="D113" i="12"/>
  <c r="D138" i="12"/>
  <c r="B185" i="12"/>
  <c r="B186" i="12"/>
  <c r="D97" i="12"/>
  <c r="Z97" i="12" s="1"/>
  <c r="D122" i="12"/>
  <c r="Z122" i="12" s="1"/>
  <c r="D43" i="12"/>
  <c r="D87" i="12"/>
  <c r="D72" i="12"/>
  <c r="D18" i="12"/>
  <c r="D52" i="12"/>
  <c r="D34" i="12"/>
  <c r="D62" i="12"/>
  <c r="D63" i="12"/>
  <c r="W205" i="12" l="1"/>
  <c r="W203" i="12"/>
  <c r="W210" i="12"/>
  <c r="W209" i="12"/>
  <c r="W208" i="12"/>
  <c r="W204" i="12"/>
  <c r="W206" i="12"/>
  <c r="W207" i="12"/>
  <c r="J2" i="12"/>
  <c r="B189" i="12"/>
  <c r="B188" i="12"/>
  <c r="A171" i="9"/>
  <c r="A170" i="9"/>
  <c r="A169" i="9"/>
  <c r="A166" i="9"/>
  <c r="A165" i="9"/>
  <c r="A164" i="9"/>
  <c r="A163" i="9"/>
  <c r="G149" i="9"/>
  <c r="C149" i="9"/>
  <c r="B147" i="9"/>
  <c r="AE146" i="9"/>
  <c r="B146" i="9"/>
  <c r="AA143" i="9"/>
  <c r="AC143" i="9" s="1"/>
  <c r="G143" i="9"/>
  <c r="C143" i="9"/>
  <c r="B140" i="9"/>
  <c r="B153" i="9" s="1"/>
  <c r="B139" i="9"/>
  <c r="G135" i="9"/>
  <c r="C135" i="9"/>
  <c r="B127" i="9"/>
  <c r="B126" i="9"/>
  <c r="B125" i="9"/>
  <c r="AA124" i="9"/>
  <c r="AC124" i="9" s="1"/>
  <c r="B124" i="9"/>
  <c r="G88" i="9"/>
  <c r="AA73" i="9"/>
  <c r="AC73" i="9" s="1"/>
  <c r="C78" i="9"/>
  <c r="P70" i="9"/>
  <c r="R70" i="9" s="1"/>
  <c r="AA68" i="9"/>
  <c r="AC68" i="9" s="1"/>
  <c r="C74" i="9"/>
  <c r="P68" i="9"/>
  <c r="R68" i="9" s="1"/>
  <c r="AA64" i="9"/>
  <c r="AC64" i="9" s="1"/>
  <c r="G69" i="9"/>
  <c r="G70" i="9" s="1"/>
  <c r="P61" i="9"/>
  <c r="R61" i="9" s="1"/>
  <c r="AA59" i="9"/>
  <c r="C65" i="9"/>
  <c r="C63" i="9"/>
  <c r="P56" i="9"/>
  <c r="R56" i="9" s="1"/>
  <c r="G61" i="9"/>
  <c r="G62" i="9" s="1"/>
  <c r="C59" i="9"/>
  <c r="C61" i="9" s="1"/>
  <c r="C54" i="9"/>
  <c r="C55" i="9" s="1"/>
  <c r="AA46" i="9"/>
  <c r="AC46" i="9" s="1"/>
  <c r="G53" i="9"/>
  <c r="G54" i="9" s="1"/>
  <c r="C47" i="9"/>
  <c r="F18" i="10" s="1"/>
  <c r="AA40" i="9"/>
  <c r="AC40" i="9" s="1"/>
  <c r="G46" i="9"/>
  <c r="F21" i="10" s="1"/>
  <c r="C41" i="9"/>
  <c r="AA34" i="9"/>
  <c r="AC34" i="9" s="1"/>
  <c r="G40" i="9"/>
  <c r="C36" i="9"/>
  <c r="P29" i="9"/>
  <c r="R29" i="9" s="1"/>
  <c r="AA28" i="9"/>
  <c r="AC28" i="9" s="1"/>
  <c r="C30" i="9"/>
  <c r="AA23" i="9"/>
  <c r="AC23" i="9" s="1"/>
  <c r="F15" i="10"/>
  <c r="P15" i="9"/>
  <c r="R15" i="9" s="1"/>
  <c r="G15" i="9"/>
  <c r="C12" i="9"/>
  <c r="C126" i="9" s="1"/>
  <c r="P54" i="9"/>
  <c r="G6" i="9"/>
  <c r="C71" i="9" l="1"/>
  <c r="AA3" i="9"/>
  <c r="AA6" i="9" s="1"/>
  <c r="AA49" i="9" s="1"/>
  <c r="G28" i="9"/>
  <c r="G20" i="9"/>
  <c r="AA62" i="9"/>
  <c r="AC62" i="9" s="1"/>
  <c r="AC59" i="9"/>
  <c r="G134" i="9"/>
  <c r="G136" i="9" s="1"/>
  <c r="W134" i="9"/>
  <c r="W136" i="9" s="1"/>
  <c r="P126" i="9"/>
  <c r="R126" i="9" s="1"/>
  <c r="R54" i="9"/>
  <c r="B152" i="9"/>
  <c r="W142" i="9"/>
  <c r="W144" i="9" s="1"/>
  <c r="K148" i="9"/>
  <c r="K150" i="9" s="1"/>
  <c r="W148" i="9"/>
  <c r="W150" i="9" s="1"/>
  <c r="W128" i="9"/>
  <c r="W130" i="9" s="1"/>
  <c r="AA125" i="9"/>
  <c r="C18" i="9"/>
  <c r="G47" i="9"/>
  <c r="G125" i="9" s="1"/>
  <c r="C48" i="9"/>
  <c r="K128" i="9"/>
  <c r="K130" i="9" s="1"/>
  <c r="AE165" i="9"/>
  <c r="B191" i="12"/>
  <c r="B192" i="12"/>
  <c r="G148" i="9"/>
  <c r="G150" i="9" s="1"/>
  <c r="G155" i="9" s="1"/>
  <c r="G157" i="9" s="1"/>
  <c r="C80" i="9"/>
  <c r="C125" i="9"/>
  <c r="C75" i="9"/>
  <c r="C148" i="9"/>
  <c r="C150" i="9" s="1"/>
  <c r="G126" i="9"/>
  <c r="AE135" i="9"/>
  <c r="AE163" i="9"/>
  <c r="AE143" i="9"/>
  <c r="AE149" i="9"/>
  <c r="AE164" i="9"/>
  <c r="G91" i="9"/>
  <c r="G92" i="9" s="1"/>
  <c r="G174" i="9" s="1"/>
  <c r="B154" i="9"/>
  <c r="AA142" i="9"/>
  <c r="C134" i="9"/>
  <c r="C124" i="9" l="1"/>
  <c r="AA7" i="9"/>
  <c r="AA65" i="9" s="1"/>
  <c r="P3" i="9"/>
  <c r="F24" i="10" s="1"/>
  <c r="AA79" i="9"/>
  <c r="AA16" i="9"/>
  <c r="G142" i="9"/>
  <c r="G144" i="9" s="1"/>
  <c r="W155" i="9"/>
  <c r="W157" i="9" s="1"/>
  <c r="W159" i="9" s="1"/>
  <c r="AA144" i="9"/>
  <c r="AC144" i="9" s="1"/>
  <c r="AC142" i="9"/>
  <c r="AA52" i="9"/>
  <c r="AC52" i="9" s="1"/>
  <c r="AC49" i="9"/>
  <c r="K155" i="9"/>
  <c r="K157" i="9" s="1"/>
  <c r="AC125" i="9"/>
  <c r="G21" i="9"/>
  <c r="G124" i="9" s="1"/>
  <c r="F19" i="10"/>
  <c r="F62" i="10"/>
  <c r="Q18" i="10"/>
  <c r="Q62" i="10" s="1"/>
  <c r="K18" i="10"/>
  <c r="S18" i="10"/>
  <c r="AA18" i="10"/>
  <c r="M18" i="10"/>
  <c r="O18" i="10"/>
  <c r="W18" i="10"/>
  <c r="F65" i="10"/>
  <c r="O21" i="10"/>
  <c r="W21" i="10"/>
  <c r="M21" i="10"/>
  <c r="K21" i="10"/>
  <c r="S21" i="10"/>
  <c r="AA21" i="10"/>
  <c r="Q21" i="10"/>
  <c r="Q65" i="10" s="1"/>
  <c r="Q15" i="10"/>
  <c r="O15" i="10"/>
  <c r="W15" i="10"/>
  <c r="F59" i="10"/>
  <c r="K15" i="10"/>
  <c r="S15" i="10"/>
  <c r="AA15" i="10"/>
  <c r="M15" i="10"/>
  <c r="C127" i="9"/>
  <c r="C128" i="9" s="1"/>
  <c r="C130" i="9" s="1"/>
  <c r="C174" i="9"/>
  <c r="AE168" i="9"/>
  <c r="B195" i="12"/>
  <c r="B194" i="12"/>
  <c r="C155" i="9"/>
  <c r="C157" i="9" s="1"/>
  <c r="C136" i="9"/>
  <c r="F27" i="10" l="1"/>
  <c r="K27" i="10" s="1"/>
  <c r="AA70" i="9"/>
  <c r="AC70" i="9" s="1"/>
  <c r="AA169" i="9"/>
  <c r="AC169" i="9" s="1"/>
  <c r="P6" i="9"/>
  <c r="P76" i="9" s="1"/>
  <c r="R76" i="9" s="1"/>
  <c r="AC16" i="9"/>
  <c r="AA17" i="9"/>
  <c r="AA80" i="9"/>
  <c r="AC79" i="9"/>
  <c r="AC65" i="9"/>
  <c r="AA66" i="9"/>
  <c r="AA126" i="9"/>
  <c r="AA127" i="9" s="1"/>
  <c r="C162" i="9"/>
  <c r="G127" i="9"/>
  <c r="G128" i="9" s="1"/>
  <c r="G130" i="9" s="1"/>
  <c r="G159" i="9" s="1"/>
  <c r="AB15" i="10"/>
  <c r="Q59" i="10"/>
  <c r="K65" i="10"/>
  <c r="AA65" i="10"/>
  <c r="O65" i="10"/>
  <c r="S65" i="10"/>
  <c r="U65" i="10"/>
  <c r="W65" i="10"/>
  <c r="M65" i="10"/>
  <c r="K62" i="10"/>
  <c r="O62" i="10"/>
  <c r="AA62" i="10"/>
  <c r="M62" i="10"/>
  <c r="W62" i="10"/>
  <c r="U62" i="10"/>
  <c r="S62" i="10"/>
  <c r="AB21" i="10"/>
  <c r="AB18" i="10"/>
  <c r="W59" i="10"/>
  <c r="S59" i="10"/>
  <c r="K59" i="10"/>
  <c r="AA59" i="10"/>
  <c r="M59" i="10"/>
  <c r="U59" i="10"/>
  <c r="O59" i="10"/>
  <c r="F63" i="10"/>
  <c r="Q19" i="10"/>
  <c r="Q63" i="10" s="1"/>
  <c r="O19" i="10"/>
  <c r="W19" i="10"/>
  <c r="W42" i="10" s="1"/>
  <c r="M19" i="10"/>
  <c r="K19" i="10"/>
  <c r="S19" i="10"/>
  <c r="AA19" i="10"/>
  <c r="AE124" i="9"/>
  <c r="C142" i="9"/>
  <c r="O27" i="10" l="1"/>
  <c r="F71" i="10"/>
  <c r="K71" i="10" s="1"/>
  <c r="Q27" i="10"/>
  <c r="Q71" i="10" s="1"/>
  <c r="M27" i="10"/>
  <c r="AA71" i="9"/>
  <c r="AC71" i="9" s="1"/>
  <c r="P77" i="9"/>
  <c r="R77" i="9" s="1"/>
  <c r="AA174" i="9"/>
  <c r="AC174" i="9" s="1"/>
  <c r="AC80" i="9"/>
  <c r="AC17" i="9"/>
  <c r="AA133" i="9"/>
  <c r="AA55" i="9"/>
  <c r="AC55" i="9" s="1"/>
  <c r="AA57" i="9"/>
  <c r="AC57" i="9" s="1"/>
  <c r="AA56" i="9"/>
  <c r="AC56" i="9" s="1"/>
  <c r="AC66" i="9"/>
  <c r="AC127" i="9"/>
  <c r="AA128" i="9"/>
  <c r="AA130" i="9" s="1"/>
  <c r="AC130" i="9" s="1"/>
  <c r="AC126" i="9"/>
  <c r="AE126" i="9"/>
  <c r="G162" i="9"/>
  <c r="AB59" i="10"/>
  <c r="AB19" i="10"/>
  <c r="AB65" i="10"/>
  <c r="W63" i="10"/>
  <c r="S63" i="10"/>
  <c r="K63" i="10"/>
  <c r="U63" i="10"/>
  <c r="O63" i="10"/>
  <c r="AA63" i="10"/>
  <c r="M63" i="10"/>
  <c r="AB62" i="10"/>
  <c r="AE129" i="9"/>
  <c r="C144" i="9"/>
  <c r="S71" i="10" l="1"/>
  <c r="O71" i="10"/>
  <c r="U71" i="10"/>
  <c r="M71" i="10"/>
  <c r="W71" i="10"/>
  <c r="AB27" i="10"/>
  <c r="AA74" i="9"/>
  <c r="AC74" i="9" s="1"/>
  <c r="AA147" i="9"/>
  <c r="AA148" i="9" s="1"/>
  <c r="AA76" i="9"/>
  <c r="AA154" i="9" s="1"/>
  <c r="AC154" i="9" s="1"/>
  <c r="AA75" i="9"/>
  <c r="AC75" i="9" s="1"/>
  <c r="P174" i="9"/>
  <c r="R174" i="9" s="1"/>
  <c r="AA134" i="9"/>
  <c r="AC133" i="9"/>
  <c r="AA170" i="9"/>
  <c r="AC170" i="9" s="1"/>
  <c r="AC128" i="9"/>
  <c r="C166" i="9"/>
  <c r="AB63" i="10"/>
  <c r="G166" i="9" s="1"/>
  <c r="G177" i="9" s="1"/>
  <c r="G179" i="9" s="1"/>
  <c r="E1" i="9" s="1"/>
  <c r="D9" i="6" s="1"/>
  <c r="C159" i="9"/>
  <c r="AB71" i="10" l="1"/>
  <c r="W166" i="9" s="1"/>
  <c r="W177" i="9" s="1"/>
  <c r="W179" i="9" s="1"/>
  <c r="U1" i="9" s="1"/>
  <c r="AC76" i="9"/>
  <c r="AE174" i="9"/>
  <c r="AA152" i="9"/>
  <c r="AC152" i="9" s="1"/>
  <c r="AC147" i="9"/>
  <c r="AA153" i="9"/>
  <c r="AC153" i="9" s="1"/>
  <c r="AA136" i="9"/>
  <c r="AC136" i="9" s="1"/>
  <c r="AC134" i="9"/>
  <c r="AA150" i="9"/>
  <c r="AC148" i="9"/>
  <c r="C177" i="9"/>
  <c r="C179" i="9" s="1"/>
  <c r="AA166" i="9" l="1"/>
  <c r="AC166" i="9" s="1"/>
  <c r="AA162" i="9"/>
  <c r="AC162" i="9" s="1"/>
  <c r="AA155" i="9"/>
  <c r="AA157" i="9" s="1"/>
  <c r="AC157" i="9" s="1"/>
  <c r="AA171" i="9"/>
  <c r="AC171" i="9" s="1"/>
  <c r="AC150" i="9"/>
  <c r="A1" i="9"/>
  <c r="D4" i="6" s="1"/>
  <c r="AA177" i="9" l="1"/>
  <c r="AC177" i="9" s="1"/>
  <c r="AC155" i="9"/>
  <c r="AA159" i="9"/>
  <c r="AC159" i="9" s="1"/>
  <c r="B26" i="8"/>
  <c r="B27" i="8" s="1"/>
  <c r="B54" i="8"/>
  <c r="B15" i="8"/>
  <c r="B59" i="8"/>
  <c r="B4" i="8"/>
  <c r="AA179" i="9" l="1"/>
  <c r="Y1" i="9" s="1"/>
  <c r="B5" i="8"/>
  <c r="B21" i="8" s="1"/>
  <c r="B11" i="8"/>
  <c r="AC179" i="9" l="1"/>
  <c r="B30" i="8"/>
  <c r="B29" i="8"/>
  <c r="B9" i="8"/>
  <c r="B10" i="8" s="1"/>
  <c r="B31" i="8"/>
  <c r="B51" i="8"/>
  <c r="C15" i="5"/>
  <c r="D64" i="5" s="1"/>
  <c r="D76" i="5"/>
  <c r="C76" i="5"/>
  <c r="C56" i="5"/>
  <c r="C38" i="5"/>
  <c r="D56" i="5"/>
  <c r="D38" i="5"/>
  <c r="D21" i="5"/>
  <c r="Z21" i="5" s="1"/>
  <c r="X60" i="5"/>
  <c r="W60" i="5"/>
  <c r="T42" i="5"/>
  <c r="S42" i="5"/>
  <c r="N26" i="5"/>
  <c r="M26" i="5"/>
  <c r="F11" i="5"/>
  <c r="E36" i="7"/>
  <c r="B9" i="7" s="1"/>
  <c r="H9" i="7" s="1"/>
  <c r="E35" i="7"/>
  <c r="C9" i="7" s="1"/>
  <c r="I9" i="7" s="1"/>
  <c r="E34" i="7"/>
  <c r="D9" i="7" s="1"/>
  <c r="J9" i="7" s="1"/>
  <c r="E33" i="7"/>
  <c r="D8" i="7" s="1"/>
  <c r="J8" i="7" s="1"/>
  <c r="E32" i="7"/>
  <c r="E8" i="7" s="1"/>
  <c r="K8" i="7" s="1"/>
  <c r="E31" i="7"/>
  <c r="D6" i="7" s="1"/>
  <c r="Q6" i="7" s="1"/>
  <c r="R6" i="7"/>
  <c r="K6" i="7"/>
  <c r="R5" i="7"/>
  <c r="Q5" i="7"/>
  <c r="K5" i="7"/>
  <c r="J5" i="7"/>
  <c r="R4" i="7"/>
  <c r="Q4" i="7"/>
  <c r="P4" i="7"/>
  <c r="K4" i="7"/>
  <c r="J4" i="7"/>
  <c r="I4" i="7"/>
  <c r="R3" i="7"/>
  <c r="Q3" i="7"/>
  <c r="P3" i="7"/>
  <c r="O3" i="7"/>
  <c r="K3" i="7"/>
  <c r="J3" i="7"/>
  <c r="I3" i="7"/>
  <c r="H3" i="7"/>
  <c r="F3" i="7"/>
  <c r="L3" i="7" s="1"/>
  <c r="C8" i="7" l="1"/>
  <c r="I8" i="7" s="1"/>
  <c r="E7" i="7"/>
  <c r="K7" i="7" s="1"/>
  <c r="C5" i="7"/>
  <c r="P5" i="7" s="1"/>
  <c r="B4" i="7"/>
  <c r="H4" i="7" s="1"/>
  <c r="B8" i="7"/>
  <c r="H8" i="7" s="1"/>
  <c r="B35" i="8"/>
  <c r="B36" i="8"/>
  <c r="X73" i="12"/>
  <c r="T53" i="12"/>
  <c r="N35" i="12"/>
  <c r="F19" i="12"/>
  <c r="B32" i="8"/>
  <c r="B47" i="8" s="1"/>
  <c r="E15" i="12"/>
  <c r="T55" i="12"/>
  <c r="X72" i="12"/>
  <c r="T57" i="12"/>
  <c r="S49" i="12"/>
  <c r="N36" i="12"/>
  <c r="F23" i="12"/>
  <c r="X74" i="12"/>
  <c r="W69" i="12"/>
  <c r="N37" i="12"/>
  <c r="N43" i="12" s="1"/>
  <c r="N34" i="12"/>
  <c r="F20" i="12"/>
  <c r="F21" i="12"/>
  <c r="X77" i="12"/>
  <c r="M31" i="12"/>
  <c r="T54" i="12"/>
  <c r="N39" i="12"/>
  <c r="F18" i="12"/>
  <c r="T52" i="12"/>
  <c r="N29" i="5"/>
  <c r="N30" i="5" s="1"/>
  <c r="X63" i="5"/>
  <c r="X64" i="5" s="1"/>
  <c r="B34" i="8"/>
  <c r="Z56" i="5"/>
  <c r="B6" i="7"/>
  <c r="H6" i="7" s="1"/>
  <c r="D7" i="7"/>
  <c r="J7" i="7" s="1"/>
  <c r="T45" i="5"/>
  <c r="T46" i="5" s="1"/>
  <c r="O4" i="7"/>
  <c r="B5" i="7"/>
  <c r="H5" i="7" s="1"/>
  <c r="C6" i="7"/>
  <c r="I6" i="7" s="1"/>
  <c r="B7" i="7"/>
  <c r="H7" i="7" s="1"/>
  <c r="M27" i="5"/>
  <c r="O50" i="5" s="1"/>
  <c r="W61" i="5"/>
  <c r="W62" i="5" s="1"/>
  <c r="I5" i="7"/>
  <c r="E12" i="5"/>
  <c r="E15" i="5" s="1"/>
  <c r="S43" i="5"/>
  <c r="S46" i="5" s="1"/>
  <c r="B39" i="8"/>
  <c r="D46" i="5"/>
  <c r="D15" i="5"/>
  <c r="D30" i="5"/>
  <c r="Z76" i="5"/>
  <c r="Z38" i="5"/>
  <c r="B12" i="6"/>
  <c r="B6" i="6"/>
  <c r="F14" i="5"/>
  <c r="F15" i="5" s="1"/>
  <c r="Y15" i="5" s="1"/>
  <c r="S44" i="5"/>
  <c r="O6" i="7"/>
  <c r="E9" i="7"/>
  <c r="K9" i="7" s="1"/>
  <c r="J6" i="7"/>
  <c r="C7" i="7"/>
  <c r="I7" i="7" s="1"/>
  <c r="M108" i="12" l="1"/>
  <c r="M113" i="12" s="1"/>
  <c r="M107" i="12"/>
  <c r="N108" i="12"/>
  <c r="N113" i="12" s="1"/>
  <c r="N107" i="12"/>
  <c r="H107" i="12"/>
  <c r="H80" i="12"/>
  <c r="L72" i="12"/>
  <c r="L69" i="12"/>
  <c r="J52" i="12"/>
  <c r="J49" i="12"/>
  <c r="L76" i="12"/>
  <c r="L74" i="12"/>
  <c r="J56" i="12"/>
  <c r="J54" i="12"/>
  <c r="H108" i="12"/>
  <c r="H113" i="12" s="1"/>
  <c r="H81" i="12"/>
  <c r="H88" i="12" s="1"/>
  <c r="L77" i="12"/>
  <c r="L75" i="12"/>
  <c r="L73" i="12"/>
  <c r="L70" i="12"/>
  <c r="H59" i="12"/>
  <c r="H63" i="12" s="1"/>
  <c r="J57" i="12"/>
  <c r="J55" i="12"/>
  <c r="J53" i="12"/>
  <c r="J50" i="12"/>
  <c r="H31" i="12"/>
  <c r="H58" i="12"/>
  <c r="W73" i="12"/>
  <c r="W75" i="12"/>
  <c r="W76" i="12"/>
  <c r="V76" i="12"/>
  <c r="V75" i="12"/>
  <c r="Q76" i="12"/>
  <c r="M38" i="12"/>
  <c r="S56" i="12"/>
  <c r="U76" i="12"/>
  <c r="U75" i="12"/>
  <c r="E19" i="12"/>
  <c r="E22" i="12"/>
  <c r="Y22" i="12" s="1"/>
  <c r="R76" i="12"/>
  <c r="P56" i="12"/>
  <c r="B40" i="8"/>
  <c r="F4" i="7"/>
  <c r="B38" i="8"/>
  <c r="F8" i="7"/>
  <c r="L8" i="7" s="1"/>
  <c r="F5" i="7"/>
  <c r="L5" i="7" s="1"/>
  <c r="V73" i="12"/>
  <c r="P48" i="5"/>
  <c r="P51" i="5"/>
  <c r="V66" i="5"/>
  <c r="P53" i="12"/>
  <c r="U73" i="12"/>
  <c r="S53" i="12"/>
  <c r="M35" i="12"/>
  <c r="T63" i="12"/>
  <c r="N29" i="12"/>
  <c r="P132" i="12"/>
  <c r="N80" i="12"/>
  <c r="P106" i="12"/>
  <c r="P113" i="12" s="1"/>
  <c r="P159" i="12"/>
  <c r="P78" i="12"/>
  <c r="N135" i="12"/>
  <c r="N138" i="12" s="1"/>
  <c r="P105" i="12"/>
  <c r="P133" i="12"/>
  <c r="P138" i="12" s="1"/>
  <c r="N58" i="12"/>
  <c r="N81" i="12"/>
  <c r="N88" i="12" s="1"/>
  <c r="P79" i="12"/>
  <c r="P88" i="12" s="1"/>
  <c r="N134" i="12"/>
  <c r="P160" i="12"/>
  <c r="P163" i="12" s="1"/>
  <c r="N59" i="12"/>
  <c r="N63" i="12" s="1"/>
  <c r="L158" i="12"/>
  <c r="L163" i="12" s="1"/>
  <c r="L103" i="12"/>
  <c r="L131" i="12"/>
  <c r="L138" i="12" s="1"/>
  <c r="L104" i="12"/>
  <c r="L113" i="12" s="1"/>
  <c r="L157" i="12"/>
  <c r="L130" i="12"/>
  <c r="U158" i="12"/>
  <c r="U163" i="12" s="1"/>
  <c r="U104" i="12"/>
  <c r="U113" i="12" s="1"/>
  <c r="U69" i="12"/>
  <c r="U74" i="12"/>
  <c r="U130" i="12"/>
  <c r="U72" i="12"/>
  <c r="U77" i="12"/>
  <c r="U157" i="12"/>
  <c r="U131" i="12"/>
  <c r="U138" i="12" s="1"/>
  <c r="U103" i="12"/>
  <c r="U70" i="12"/>
  <c r="P55" i="12"/>
  <c r="P50" i="12"/>
  <c r="V130" i="12"/>
  <c r="V70" i="12"/>
  <c r="P54" i="12"/>
  <c r="P57" i="12"/>
  <c r="P52" i="12"/>
  <c r="V103" i="12"/>
  <c r="V158" i="12"/>
  <c r="V163" i="12" s="1"/>
  <c r="V104" i="12"/>
  <c r="V113" i="12" s="1"/>
  <c r="P49" i="12"/>
  <c r="V72" i="12"/>
  <c r="V157" i="12"/>
  <c r="V69" i="12"/>
  <c r="V131" i="12"/>
  <c r="V138" i="12" s="1"/>
  <c r="V77" i="12"/>
  <c r="V74" i="12"/>
  <c r="T160" i="12"/>
  <c r="T163" i="12" s="1"/>
  <c r="T106" i="12"/>
  <c r="T113" i="12" s="1"/>
  <c r="T159" i="12"/>
  <c r="T47" i="12"/>
  <c r="T78" i="12"/>
  <c r="T133" i="12"/>
  <c r="T138" i="12" s="1"/>
  <c r="T79" i="12"/>
  <c r="T88" i="12" s="1"/>
  <c r="T105" i="12"/>
  <c r="T132" i="12"/>
  <c r="X88" i="12"/>
  <c r="M37" i="12"/>
  <c r="M59" i="12"/>
  <c r="M63" i="12" s="1"/>
  <c r="M135" i="12"/>
  <c r="M138" i="12" s="1"/>
  <c r="M29" i="12"/>
  <c r="M36" i="12"/>
  <c r="M34" i="12"/>
  <c r="M32" i="12"/>
  <c r="M134" i="12"/>
  <c r="M58" i="12"/>
  <c r="M81" i="12"/>
  <c r="M88" i="12" s="1"/>
  <c r="M80" i="12"/>
  <c r="M39" i="12"/>
  <c r="W158" i="12"/>
  <c r="W163" i="12" s="1"/>
  <c r="W130" i="12"/>
  <c r="W70" i="12"/>
  <c r="W72" i="12"/>
  <c r="W103" i="12"/>
  <c r="W77" i="12"/>
  <c r="W131" i="12"/>
  <c r="W138" i="12" s="1"/>
  <c r="W67" i="12"/>
  <c r="W104" i="12"/>
  <c r="W113" i="12" s="1"/>
  <c r="W157" i="12"/>
  <c r="W74" i="12"/>
  <c r="F41" i="12"/>
  <c r="F43" i="12" s="1"/>
  <c r="F40" i="12"/>
  <c r="F161" i="12"/>
  <c r="F163" i="12" s="1"/>
  <c r="F61" i="12"/>
  <c r="F63" i="12" s="1"/>
  <c r="F110" i="12"/>
  <c r="F113" i="12" s="1"/>
  <c r="F60" i="12"/>
  <c r="F109" i="12"/>
  <c r="F83" i="12"/>
  <c r="F88" i="12" s="1"/>
  <c r="F82" i="12"/>
  <c r="X67" i="12"/>
  <c r="X130" i="12"/>
  <c r="X103" i="12"/>
  <c r="X158" i="12"/>
  <c r="X163" i="12" s="1"/>
  <c r="X131" i="12"/>
  <c r="X138" i="12" s="1"/>
  <c r="X157" i="12"/>
  <c r="X104" i="12"/>
  <c r="X113" i="12" s="1"/>
  <c r="S55" i="12"/>
  <c r="S50" i="12"/>
  <c r="S79" i="12"/>
  <c r="S88" i="12" s="1"/>
  <c r="S54" i="12"/>
  <c r="S160" i="12"/>
  <c r="S163" i="12" s="1"/>
  <c r="S57" i="12"/>
  <c r="S159" i="12"/>
  <c r="S133" i="12"/>
  <c r="S138" i="12" s="1"/>
  <c r="S47" i="12"/>
  <c r="S132" i="12"/>
  <c r="S52" i="12"/>
  <c r="S105" i="12"/>
  <c r="S106" i="12"/>
  <c r="S113" i="12" s="1"/>
  <c r="S78" i="12"/>
  <c r="F25" i="12"/>
  <c r="E21" i="12"/>
  <c r="Y21" i="12" s="1"/>
  <c r="E83" i="12"/>
  <c r="E161" i="12"/>
  <c r="E20" i="12"/>
  <c r="Y20" i="12" s="1"/>
  <c r="E23" i="12"/>
  <c r="Y23" i="12" s="1"/>
  <c r="Y15" i="12"/>
  <c r="E109" i="12"/>
  <c r="E110" i="12"/>
  <c r="E18" i="12"/>
  <c r="E41" i="12"/>
  <c r="E82" i="12"/>
  <c r="E16" i="12"/>
  <c r="E61" i="12"/>
  <c r="E40" i="12"/>
  <c r="E60" i="12"/>
  <c r="P43" i="5"/>
  <c r="P49" i="5"/>
  <c r="U67" i="5"/>
  <c r="P46" i="5"/>
  <c r="O43" i="5"/>
  <c r="P50" i="5"/>
  <c r="O47" i="5"/>
  <c r="U66" i="5"/>
  <c r="O5" i="7"/>
  <c r="V67" i="5"/>
  <c r="W64" i="5"/>
  <c r="F7" i="7"/>
  <c r="L7" i="7" s="1"/>
  <c r="V62" i="5"/>
  <c r="V65" i="5"/>
  <c r="O46" i="5"/>
  <c r="U62" i="5"/>
  <c r="M30" i="5"/>
  <c r="V64" i="5"/>
  <c r="P6" i="7"/>
  <c r="R68" i="5"/>
  <c r="P47" i="5"/>
  <c r="U61" i="5"/>
  <c r="V61" i="5"/>
  <c r="V69" i="5"/>
  <c r="U68" i="5"/>
  <c r="U64" i="5"/>
  <c r="O51" i="5"/>
  <c r="P44" i="5"/>
  <c r="M28" i="5"/>
  <c r="O44" i="5"/>
  <c r="O49" i="5"/>
  <c r="O48" i="5"/>
  <c r="U65" i="5"/>
  <c r="U69" i="5"/>
  <c r="V68" i="5"/>
  <c r="F6" i="7"/>
  <c r="L6" i="7" s="1"/>
  <c r="B44" i="8"/>
  <c r="B42" i="8"/>
  <c r="B43" i="8"/>
  <c r="Z15" i="5"/>
  <c r="F9" i="7"/>
  <c r="L4" i="7"/>
  <c r="Y18" i="12" l="1"/>
  <c r="Z18" i="12" s="1"/>
  <c r="K76" i="12"/>
  <c r="K74" i="12"/>
  <c r="G59" i="12"/>
  <c r="I56" i="12"/>
  <c r="I54" i="12"/>
  <c r="G107" i="12"/>
  <c r="Y107" i="12" s="1"/>
  <c r="G80" i="12"/>
  <c r="Y80" i="12" s="1"/>
  <c r="K72" i="12"/>
  <c r="K69" i="12"/>
  <c r="G58" i="12"/>
  <c r="Y58" i="12" s="1"/>
  <c r="I52" i="12"/>
  <c r="I49" i="12"/>
  <c r="G108" i="12"/>
  <c r="G81" i="12"/>
  <c r="K77" i="12"/>
  <c r="K75" i="12"/>
  <c r="K73" i="12"/>
  <c r="K70" i="12"/>
  <c r="I57" i="12"/>
  <c r="I55" i="12"/>
  <c r="I53" i="12"/>
  <c r="I50" i="12"/>
  <c r="G31" i="12"/>
  <c r="O133" i="12"/>
  <c r="O138" i="12" s="1"/>
  <c r="O79" i="12"/>
  <c r="O88" i="12" s="1"/>
  <c r="O55" i="12"/>
  <c r="O50" i="12"/>
  <c r="O132" i="12"/>
  <c r="O78" i="12"/>
  <c r="O54" i="12"/>
  <c r="O49" i="12"/>
  <c r="O160" i="12"/>
  <c r="O163" i="12" s="1"/>
  <c r="O106" i="12"/>
  <c r="O113" i="12" s="1"/>
  <c r="O57" i="12"/>
  <c r="O53" i="12"/>
  <c r="O159" i="12"/>
  <c r="O105" i="12"/>
  <c r="O56" i="12"/>
  <c r="O52" i="12"/>
  <c r="Y19" i="12"/>
  <c r="H35" i="12"/>
  <c r="H38" i="12"/>
  <c r="Q65" i="5"/>
  <c r="Q67" i="5"/>
  <c r="R73" i="12"/>
  <c r="Q73" i="12"/>
  <c r="S63" i="12"/>
  <c r="W88" i="12"/>
  <c r="Y82" i="12"/>
  <c r="Y60" i="12"/>
  <c r="M43" i="12"/>
  <c r="U88" i="12"/>
  <c r="E43" i="12"/>
  <c r="Y41" i="12"/>
  <c r="Y40" i="12"/>
  <c r="Q104" i="12"/>
  <c r="Q113" i="12" s="1"/>
  <c r="Q103" i="12"/>
  <c r="Q157" i="12"/>
  <c r="Q74" i="12"/>
  <c r="Q70" i="12"/>
  <c r="Q158" i="12"/>
  <c r="Q163" i="12" s="1"/>
  <c r="Q130" i="12"/>
  <c r="Q75" i="12"/>
  <c r="Q72" i="12"/>
  <c r="Q131" i="12"/>
  <c r="Q138" i="12" s="1"/>
  <c r="Q69" i="12"/>
  <c r="Q77" i="12"/>
  <c r="R158" i="12"/>
  <c r="R163" i="12" s="1"/>
  <c r="R69" i="12"/>
  <c r="R72" i="12"/>
  <c r="R130" i="12"/>
  <c r="R104" i="12"/>
  <c r="R113" i="12" s="1"/>
  <c r="R157" i="12"/>
  <c r="R75" i="12"/>
  <c r="R70" i="12"/>
  <c r="R103" i="12"/>
  <c r="R131" i="12"/>
  <c r="R138" i="12" s="1"/>
  <c r="R74" i="12"/>
  <c r="R77" i="12"/>
  <c r="E63" i="12"/>
  <c r="Y61" i="12"/>
  <c r="E163" i="12"/>
  <c r="Y161" i="12"/>
  <c r="Q62" i="5"/>
  <c r="R65" i="5"/>
  <c r="S7" i="7"/>
  <c r="E25" i="12"/>
  <c r="Y25" i="12" s="1"/>
  <c r="E113" i="12"/>
  <c r="Y110" i="12"/>
  <c r="E88" i="12"/>
  <c r="Y83" i="12"/>
  <c r="K157" i="12"/>
  <c r="K131" i="12"/>
  <c r="K103" i="12"/>
  <c r="F11" i="7"/>
  <c r="L11" i="7" s="1"/>
  <c r="Q64" i="5"/>
  <c r="Q66" i="5"/>
  <c r="R61" i="5"/>
  <c r="R66" i="5"/>
  <c r="Y109" i="12"/>
  <c r="Y67" i="12"/>
  <c r="V88" i="12"/>
  <c r="P63" i="12"/>
  <c r="K104" i="12"/>
  <c r="Y47" i="12"/>
  <c r="H39" i="12"/>
  <c r="H134" i="12"/>
  <c r="H32" i="12"/>
  <c r="H135" i="12"/>
  <c r="H138" i="12" s="1"/>
  <c r="H37" i="12"/>
  <c r="H34" i="12"/>
  <c r="H36" i="12"/>
  <c r="L88" i="12"/>
  <c r="K158" i="12"/>
  <c r="K130" i="12"/>
  <c r="Y29" i="12"/>
  <c r="R64" i="5"/>
  <c r="R62" i="5"/>
  <c r="R69" i="5"/>
  <c r="R67" i="5"/>
  <c r="Q69" i="5"/>
  <c r="Q68" i="5"/>
  <c r="Q61" i="5"/>
  <c r="L9" i="7"/>
  <c r="F12" i="7"/>
  <c r="O63" i="12" l="1"/>
  <c r="G35" i="12"/>
  <c r="G38" i="12"/>
  <c r="Y38" i="12" s="1"/>
  <c r="L15" i="7"/>
  <c r="K19" i="7" s="1"/>
  <c r="Y57" i="12"/>
  <c r="Y54" i="12"/>
  <c r="Y157" i="12"/>
  <c r="Y70" i="12"/>
  <c r="Y52" i="12"/>
  <c r="Z52" i="12" s="1"/>
  <c r="Y50" i="12"/>
  <c r="Y56" i="12"/>
  <c r="H43" i="12"/>
  <c r="Y77" i="12"/>
  <c r="Y53" i="12"/>
  <c r="Y130" i="12"/>
  <c r="Y72" i="12"/>
  <c r="Z72" i="12" s="1"/>
  <c r="Y55" i="12"/>
  <c r="R88" i="12"/>
  <c r="Y131" i="12"/>
  <c r="K138" i="12"/>
  <c r="Q88" i="12"/>
  <c r="Y76" i="12"/>
  <c r="Y74" i="12"/>
  <c r="G113" i="12"/>
  <c r="Y108" i="12"/>
  <c r="Y73" i="12"/>
  <c r="K113" i="12"/>
  <c r="Y104" i="12"/>
  <c r="Y103" i="12"/>
  <c r="I79" i="12"/>
  <c r="I106" i="12"/>
  <c r="Y49" i="12"/>
  <c r="I133" i="12"/>
  <c r="I159" i="12"/>
  <c r="I132" i="12"/>
  <c r="I160" i="12"/>
  <c r="I105" i="12"/>
  <c r="I78" i="12"/>
  <c r="I63" i="12"/>
  <c r="Y75" i="12"/>
  <c r="G88" i="12"/>
  <c r="Y81" i="12"/>
  <c r="Y158" i="12"/>
  <c r="K163" i="12"/>
  <c r="Y59" i="12"/>
  <c r="G63" i="12"/>
  <c r="J79" i="12"/>
  <c r="J88" i="12" s="1"/>
  <c r="J78" i="12"/>
  <c r="J160" i="12"/>
  <c r="J163" i="12" s="1"/>
  <c r="J159" i="12"/>
  <c r="J106" i="12"/>
  <c r="J113" i="12" s="1"/>
  <c r="J105" i="12"/>
  <c r="J133" i="12"/>
  <c r="J138" i="12" s="1"/>
  <c r="J132" i="12"/>
  <c r="J63" i="12"/>
  <c r="Y69" i="12"/>
  <c r="K88" i="12"/>
  <c r="Y35" i="12"/>
  <c r="G36" i="12"/>
  <c r="Y36" i="12" s="1"/>
  <c r="G39" i="12"/>
  <c r="Y39" i="12" s="1"/>
  <c r="G37" i="12"/>
  <c r="Y37" i="12" s="1"/>
  <c r="G134" i="12"/>
  <c r="Y134" i="12" s="1"/>
  <c r="Z168" i="12"/>
  <c r="J3" i="12" s="1"/>
  <c r="Y31" i="12"/>
  <c r="G32" i="12"/>
  <c r="Y32" i="12" s="1"/>
  <c r="G135" i="12"/>
  <c r="G34" i="12"/>
  <c r="Y34" i="12" s="1"/>
  <c r="Z34" i="12" s="1"/>
  <c r="L19" i="7"/>
  <c r="L25" i="7" s="1"/>
  <c r="K25" i="7"/>
  <c r="K22" i="7"/>
  <c r="L22" i="7" s="1"/>
  <c r="L12" i="7"/>
  <c r="L16" i="7" s="1"/>
  <c r="K20" i="7" s="1"/>
  <c r="Y45" i="12" l="1"/>
  <c r="E181" i="12" s="1"/>
  <c r="Y65" i="12"/>
  <c r="E184" i="12" s="1"/>
  <c r="Y63" i="12"/>
  <c r="Z63" i="12" s="1"/>
  <c r="E183" i="12" s="1"/>
  <c r="F186" i="12" s="1"/>
  <c r="G189" i="12" s="1"/>
  <c r="H192" i="12" s="1"/>
  <c r="Y78" i="12"/>
  <c r="G43" i="12"/>
  <c r="Y43" i="12" s="1"/>
  <c r="Z43" i="12" s="1"/>
  <c r="E180" i="12" s="1"/>
  <c r="F183" i="12" s="1"/>
  <c r="G186" i="12" s="1"/>
  <c r="H189" i="12" s="1"/>
  <c r="Y105" i="12"/>
  <c r="Y159" i="12"/>
  <c r="G138" i="12"/>
  <c r="Y135" i="12"/>
  <c r="I88" i="12"/>
  <c r="Y88" i="12" s="1"/>
  <c r="Z88" i="12" s="1"/>
  <c r="E186" i="12" s="1"/>
  <c r="F189" i="12" s="1"/>
  <c r="G192" i="12" s="1"/>
  <c r="H195" i="12" s="1"/>
  <c r="Y79" i="12"/>
  <c r="Z169" i="12"/>
  <c r="Y160" i="12"/>
  <c r="Y163" i="12" s="1"/>
  <c r="Z163" i="12" s="1"/>
  <c r="E195" i="12" s="1"/>
  <c r="I163" i="12"/>
  <c r="Y132" i="12"/>
  <c r="I113" i="12"/>
  <c r="Y106" i="12"/>
  <c r="Y113" i="12" s="1"/>
  <c r="Z113" i="12" s="1"/>
  <c r="E189" i="12" s="1"/>
  <c r="I138" i="12"/>
  <c r="Y133" i="12"/>
  <c r="L20" i="7"/>
  <c r="L26" i="7" s="1"/>
  <c r="K26" i="7"/>
  <c r="K23" i="7"/>
  <c r="L23" i="7" s="1"/>
  <c r="Y140" i="12" l="1"/>
  <c r="E193" i="12" s="1"/>
  <c r="F196" i="12" s="1"/>
  <c r="Y90" i="12"/>
  <c r="E187" i="12" s="1"/>
  <c r="F190" i="12" s="1"/>
  <c r="G193" i="12" s="1"/>
  <c r="H196" i="12" s="1"/>
  <c r="Y165" i="12"/>
  <c r="E196" i="12" s="1"/>
  <c r="F184" i="12"/>
  <c r="G187" i="12" s="1"/>
  <c r="H190" i="12" s="1"/>
  <c r="Y115" i="12"/>
  <c r="E190" i="12" s="1"/>
  <c r="F187" i="12"/>
  <c r="G190" i="12" s="1"/>
  <c r="H193" i="12" s="1"/>
  <c r="A7" i="12"/>
  <c r="J4" i="12"/>
  <c r="Y138" i="12"/>
  <c r="Z138" i="12" s="1"/>
  <c r="E192" i="12" s="1"/>
  <c r="F195" i="12" s="1"/>
  <c r="F192" i="12"/>
  <c r="G195" i="12" s="1"/>
  <c r="I189" i="12"/>
  <c r="D15" i="6"/>
  <c r="I199" i="12" l="1"/>
  <c r="K3" i="12"/>
  <c r="F193" i="12"/>
  <c r="I190" i="12"/>
  <c r="I195" i="12"/>
  <c r="I192" i="12"/>
  <c r="B4" i="5"/>
  <c r="B3" i="5"/>
  <c r="B10" i="6"/>
  <c r="B5" i="6"/>
  <c r="X59" i="5"/>
  <c r="W59" i="5"/>
  <c r="T41" i="5"/>
  <c r="S41" i="5"/>
  <c r="N25" i="5"/>
  <c r="M25" i="5"/>
  <c r="F10" i="5"/>
  <c r="E10" i="5"/>
  <c r="B13" i="6"/>
  <c r="Z8" i="5" s="1"/>
  <c r="G196" i="12" l="1"/>
  <c r="I196" i="12" s="1"/>
  <c r="I193" i="12"/>
  <c r="Y25" i="5"/>
  <c r="Z25" i="5"/>
  <c r="Z59" i="5"/>
  <c r="Y59" i="5"/>
  <c r="Z41" i="5"/>
  <c r="Y41" i="5"/>
  <c r="Y10" i="5"/>
  <c r="Z10" i="5"/>
  <c r="F37" i="5"/>
  <c r="F36" i="5"/>
  <c r="D10" i="5"/>
  <c r="Y63" i="5"/>
  <c r="Y45" i="5"/>
  <c r="Y29" i="5"/>
  <c r="Y14" i="5"/>
  <c r="Y12" i="5"/>
  <c r="D59" i="5" l="1"/>
  <c r="D41" i="5"/>
  <c r="D25" i="5"/>
  <c r="B18" i="6"/>
  <c r="B15" i="6"/>
  <c r="B17" i="6" s="1"/>
  <c r="Z86" i="5"/>
  <c r="F75" i="5"/>
  <c r="F74" i="5"/>
  <c r="F55" i="5"/>
  <c r="F54" i="5"/>
  <c r="F20" i="5"/>
  <c r="F19" i="5"/>
  <c r="F18" i="5"/>
  <c r="F17" i="5"/>
  <c r="F16" i="5"/>
  <c r="L64" i="5" s="1"/>
  <c r="E75" i="5"/>
  <c r="E74" i="5"/>
  <c r="E55" i="5"/>
  <c r="E54" i="5"/>
  <c r="E37" i="5"/>
  <c r="E36" i="5"/>
  <c r="E20" i="5"/>
  <c r="E19" i="5"/>
  <c r="E18" i="5"/>
  <c r="E17" i="5"/>
  <c r="E16" i="5"/>
  <c r="E13" i="5"/>
  <c r="Y13" i="5" s="1"/>
  <c r="X69" i="5"/>
  <c r="X68" i="5"/>
  <c r="X67" i="5"/>
  <c r="X66" i="5"/>
  <c r="X65" i="5"/>
  <c r="W69" i="5"/>
  <c r="W68" i="5"/>
  <c r="W67" i="5"/>
  <c r="W66" i="5"/>
  <c r="W65" i="5"/>
  <c r="T71" i="5"/>
  <c r="S71" i="5"/>
  <c r="T70" i="5"/>
  <c r="S70" i="5"/>
  <c r="T51" i="5"/>
  <c r="S51" i="5"/>
  <c r="T50" i="5"/>
  <c r="S50" i="5"/>
  <c r="T49" i="5"/>
  <c r="S49" i="5"/>
  <c r="T48" i="5"/>
  <c r="S48" i="5"/>
  <c r="T47" i="5"/>
  <c r="S47" i="5"/>
  <c r="K64" i="5" l="1"/>
  <c r="Y64" i="5" s="1"/>
  <c r="Y16" i="5"/>
  <c r="B20" i="6"/>
  <c r="Y54" i="5"/>
  <c r="L66" i="5"/>
  <c r="L69" i="5"/>
  <c r="L65" i="5"/>
  <c r="L68" i="5"/>
  <c r="L62" i="5"/>
  <c r="J43" i="5"/>
  <c r="L67" i="5"/>
  <c r="L61" i="5"/>
  <c r="K66" i="5"/>
  <c r="K69" i="5"/>
  <c r="K65" i="5"/>
  <c r="Y65" i="5" s="1"/>
  <c r="K68" i="5"/>
  <c r="K62" i="5"/>
  <c r="H27" i="5"/>
  <c r="H30" i="5" s="1"/>
  <c r="K67" i="5"/>
  <c r="K61" i="5"/>
  <c r="I43" i="5"/>
  <c r="G27" i="5"/>
  <c r="G30" i="5" s="1"/>
  <c r="Y30" i="5" s="1"/>
  <c r="Y17" i="5"/>
  <c r="Y18" i="5"/>
  <c r="Y19" i="5"/>
  <c r="Y20" i="5"/>
  <c r="Y55" i="5"/>
  <c r="Y74" i="5"/>
  <c r="Y75" i="5"/>
  <c r="O71" i="5"/>
  <c r="O70" i="5"/>
  <c r="P71" i="5"/>
  <c r="P70" i="5"/>
  <c r="N73" i="5"/>
  <c r="N72" i="5"/>
  <c r="N53" i="5"/>
  <c r="N52" i="5"/>
  <c r="M73" i="5"/>
  <c r="M72" i="5"/>
  <c r="M53" i="5"/>
  <c r="M52" i="5"/>
  <c r="N35" i="5"/>
  <c r="N34" i="5"/>
  <c r="N33" i="5"/>
  <c r="N32" i="5"/>
  <c r="N31" i="5"/>
  <c r="M35" i="5"/>
  <c r="M34" i="5"/>
  <c r="M33" i="5"/>
  <c r="M32" i="5"/>
  <c r="M31" i="5"/>
  <c r="Z64" i="5" l="1"/>
  <c r="Z30" i="5"/>
  <c r="I46" i="5"/>
  <c r="J46" i="5"/>
  <c r="Y37" i="5"/>
  <c r="Y36" i="5"/>
  <c r="B7" i="4"/>
  <c r="B4" i="4"/>
  <c r="B8" i="4"/>
  <c r="B5" i="4"/>
  <c r="B14" i="4"/>
  <c r="B9" i="4" l="1"/>
  <c r="Y46" i="5"/>
  <c r="Y43" i="5"/>
  <c r="B35" i="4"/>
  <c r="B6" i="4"/>
  <c r="Y67" i="5"/>
  <c r="Y61" i="5"/>
  <c r="Y69" i="5"/>
  <c r="Y62" i="5"/>
  <c r="Y66" i="5"/>
  <c r="Y68" i="5"/>
  <c r="I70" i="5"/>
  <c r="I50" i="5"/>
  <c r="I48" i="5"/>
  <c r="I44" i="5"/>
  <c r="J71" i="5"/>
  <c r="J51" i="5"/>
  <c r="J49" i="5"/>
  <c r="J47" i="5"/>
  <c r="I71" i="5"/>
  <c r="Y71" i="5" s="1"/>
  <c r="I51" i="5"/>
  <c r="Y51" i="5" s="1"/>
  <c r="I49" i="5"/>
  <c r="Y49" i="5" s="1"/>
  <c r="I47" i="5"/>
  <c r="J70" i="5"/>
  <c r="J50" i="5"/>
  <c r="J48" i="5"/>
  <c r="J44" i="5"/>
  <c r="H31" i="5"/>
  <c r="B36" i="4"/>
  <c r="B33" i="4"/>
  <c r="Z46" i="5" l="1"/>
  <c r="Y47" i="5"/>
  <c r="G35" i="5"/>
  <c r="Y27" i="5"/>
  <c r="Y50" i="5"/>
  <c r="Y70" i="5"/>
  <c r="Y44" i="5"/>
  <c r="Y48" i="5"/>
  <c r="G32" i="5"/>
  <c r="G28" i="5"/>
  <c r="H72" i="5"/>
  <c r="H52" i="5"/>
  <c r="H73" i="5"/>
  <c r="H53" i="5"/>
  <c r="G73" i="5"/>
  <c r="G53" i="5"/>
  <c r="G72" i="5"/>
  <c r="G52" i="5"/>
  <c r="H28" i="5"/>
  <c r="G34" i="5"/>
  <c r="G33" i="5"/>
  <c r="H34" i="5"/>
  <c r="G31" i="5"/>
  <c r="Y31" i="5" s="1"/>
  <c r="H32" i="5"/>
  <c r="H35" i="5"/>
  <c r="H33" i="5"/>
  <c r="B14" i="3"/>
  <c r="Z82" i="5" l="1"/>
  <c r="Y32" i="5"/>
  <c r="Y52" i="5"/>
  <c r="Y73" i="5"/>
  <c r="Y35" i="5"/>
  <c r="Y28" i="5"/>
  <c r="Y33" i="5"/>
  <c r="Y72" i="5"/>
  <c r="Y34" i="5"/>
  <c r="Y53" i="5"/>
  <c r="B12" i="3"/>
  <c r="B6" i="3"/>
  <c r="B24" i="3"/>
  <c r="B4" i="3"/>
  <c r="B5" i="3" s="1"/>
  <c r="B45" i="3" l="1"/>
  <c r="B13" i="3"/>
  <c r="B15" i="3" s="1"/>
  <c r="B16" i="3" s="1"/>
  <c r="B7" i="3"/>
  <c r="B8" i="3" s="1"/>
  <c r="B11" i="3" s="1"/>
  <c r="B44" i="3"/>
  <c r="B37" i="1"/>
  <c r="B17" i="3" l="1"/>
  <c r="B18" i="3" s="1"/>
  <c r="B29" i="3"/>
  <c r="B9" i="3"/>
  <c r="B10" i="3" l="1"/>
  <c r="B20" i="3"/>
  <c r="B22" i="3" s="1"/>
  <c r="B25" i="3" l="1"/>
  <c r="B26" i="3" s="1"/>
  <c r="B28" i="3"/>
  <c r="B23" i="3"/>
  <c r="B31" i="3" l="1"/>
  <c r="B30" i="3"/>
  <c r="B33" i="3"/>
  <c r="B34" i="3" s="1"/>
  <c r="B40" i="3" l="1"/>
  <c r="B41" i="3" s="1"/>
  <c r="B47" i="3" l="1"/>
  <c r="B48" i="3" s="1"/>
  <c r="B49" i="3" s="1"/>
  <c r="B51" i="3" l="1"/>
  <c r="G18" i="1" s="1"/>
  <c r="B2" i="12" s="1"/>
  <c r="G17" i="1"/>
  <c r="B10" i="4"/>
  <c r="B15" i="4" s="1"/>
  <c r="B16" i="4" l="1"/>
  <c r="B20" i="4" s="1"/>
  <c r="B17" i="4"/>
  <c r="D84" i="12"/>
  <c r="D159" i="12"/>
  <c r="Z159" i="12" s="1"/>
  <c r="D134" i="12"/>
  <c r="Z134" i="12" s="1"/>
  <c r="D107" i="12"/>
  <c r="Z107" i="12" s="1"/>
  <c r="D60" i="12"/>
  <c r="D157" i="12"/>
  <c r="Z157" i="12" s="1"/>
  <c r="D109" i="12"/>
  <c r="Z109" i="12" s="1"/>
  <c r="D22" i="12"/>
  <c r="D132" i="12"/>
  <c r="Z132" i="12" s="1"/>
  <c r="D82" i="12"/>
  <c r="Z82" i="12" s="1"/>
  <c r="D20" i="12"/>
  <c r="D40" i="12"/>
  <c r="B2" i="5"/>
  <c r="D36" i="5" s="1"/>
  <c r="B11" i="4" l="1"/>
  <c r="B12" i="4" s="1"/>
  <c r="B19" i="4" s="1"/>
  <c r="D19" i="5"/>
  <c r="D50" i="5" s="1"/>
  <c r="Z50" i="5" s="1"/>
  <c r="D155" i="12"/>
  <c r="Z155" i="12" s="1"/>
  <c r="D80" i="12"/>
  <c r="Z80" i="12" s="1"/>
  <c r="D105" i="12"/>
  <c r="Z105" i="12" s="1"/>
  <c r="D130" i="12"/>
  <c r="Z130" i="12" s="1"/>
  <c r="Z60" i="12"/>
  <c r="D54" i="5"/>
  <c r="D72" i="5" s="1"/>
  <c r="Z72" i="5" s="1"/>
  <c r="D153" i="12"/>
  <c r="Z153" i="12" s="1"/>
  <c r="D103" i="12"/>
  <c r="Z103" i="12" s="1"/>
  <c r="D58" i="12"/>
  <c r="Z58" i="12" s="1"/>
  <c r="D128" i="12"/>
  <c r="Z128" i="12" s="1"/>
  <c r="D78" i="12"/>
  <c r="Z78" i="12" s="1"/>
  <c r="Z40" i="12"/>
  <c r="D151" i="12"/>
  <c r="Z151" i="12" s="1"/>
  <c r="D76" i="12"/>
  <c r="Z76" i="12" s="1"/>
  <c r="D101" i="12"/>
  <c r="Z101" i="12" s="1"/>
  <c r="D56" i="12"/>
  <c r="Z56" i="12" s="1"/>
  <c r="D126" i="12"/>
  <c r="Z126" i="12" s="1"/>
  <c r="D38" i="12"/>
  <c r="Z38" i="12" s="1"/>
  <c r="Z22" i="12"/>
  <c r="D74" i="5"/>
  <c r="Z74" i="5" s="1"/>
  <c r="D149" i="12"/>
  <c r="Z149" i="12" s="1"/>
  <c r="D99" i="12"/>
  <c r="D74" i="12"/>
  <c r="D124" i="12"/>
  <c r="Z124" i="12" s="1"/>
  <c r="D54" i="12"/>
  <c r="Z54" i="12" s="1"/>
  <c r="D36" i="12"/>
  <c r="Z36" i="12" s="1"/>
  <c r="Z20" i="12"/>
  <c r="D17" i="5"/>
  <c r="D66" i="5" s="1"/>
  <c r="Z66" i="5" s="1"/>
  <c r="Z36" i="5"/>
  <c r="D70" i="5"/>
  <c r="Z70" i="5" s="1"/>
  <c r="D52" i="5"/>
  <c r="Z52" i="5" s="1"/>
  <c r="B13" i="4" l="1"/>
  <c r="Z54" i="5"/>
  <c r="D34" i="5"/>
  <c r="Z34" i="5" s="1"/>
  <c r="D32" i="5"/>
  <c r="Z32" i="5" s="1"/>
  <c r="D48" i="5"/>
  <c r="Z48" i="5" s="1"/>
  <c r="D68" i="5"/>
  <c r="Z68" i="5" s="1"/>
  <c r="Z19" i="5"/>
  <c r="Z17" i="5"/>
  <c r="D137" i="12"/>
  <c r="Z74" i="12"/>
  <c r="D162" i="12"/>
  <c r="Z99" i="12"/>
  <c r="B24" i="4"/>
  <c r="B25" i="4" s="1"/>
  <c r="B22" i="4"/>
  <c r="B21" i="4"/>
  <c r="B31" i="4" l="1"/>
  <c r="B27" i="4"/>
  <c r="B38" i="4" l="1"/>
  <c r="B39" i="4" s="1"/>
  <c r="B40" i="4" s="1"/>
  <c r="B42" i="4" l="1"/>
  <c r="G14" i="1" s="1"/>
  <c r="B1" i="12" s="1"/>
  <c r="G13" i="1"/>
  <c r="D16" i="12" l="1"/>
  <c r="D161" i="12"/>
  <c r="Z161" i="12" s="1"/>
  <c r="D158" i="12"/>
  <c r="Z158" i="12" s="1"/>
  <c r="D41" i="12"/>
  <c r="D133" i="12"/>
  <c r="Z133" i="12" s="1"/>
  <c r="D108" i="12"/>
  <c r="Z108" i="12" s="1"/>
  <c r="D85" i="12"/>
  <c r="D83" i="12"/>
  <c r="Z83" i="12" s="1"/>
  <c r="D23" i="12"/>
  <c r="D135" i="12"/>
  <c r="Z135" i="12" s="1"/>
  <c r="D86" i="12"/>
  <c r="D61" i="12"/>
  <c r="D110" i="12"/>
  <c r="Z110" i="12" s="1"/>
  <c r="D15" i="12"/>
  <c r="D21" i="12"/>
  <c r="D160" i="12"/>
  <c r="Z160" i="12" s="1"/>
  <c r="D136" i="12"/>
  <c r="Z136" i="12" s="1"/>
  <c r="D111" i="12"/>
  <c r="Z111" i="12" s="1"/>
  <c r="D19" i="12"/>
  <c r="Z19" i="12" s="1"/>
  <c r="B1" i="5"/>
  <c r="D20" i="5" s="1"/>
  <c r="D14" i="5" l="1"/>
  <c r="D63" i="5" s="1"/>
  <c r="Z63" i="5" s="1"/>
  <c r="D131" i="12"/>
  <c r="Z131" i="12" s="1"/>
  <c r="D156" i="12"/>
  <c r="Z156" i="12" s="1"/>
  <c r="D81" i="12"/>
  <c r="Z81" i="12" s="1"/>
  <c r="D106" i="12"/>
  <c r="Z106" i="12" s="1"/>
  <c r="Z61" i="12"/>
  <c r="D154" i="12"/>
  <c r="Z154" i="12" s="1"/>
  <c r="D79" i="12"/>
  <c r="Z79" i="12" s="1"/>
  <c r="D104" i="12"/>
  <c r="Z104" i="12" s="1"/>
  <c r="D129" i="12"/>
  <c r="Z129" i="12" s="1"/>
  <c r="D59" i="12"/>
  <c r="Z59" i="12" s="1"/>
  <c r="Z41" i="12"/>
  <c r="D12" i="5"/>
  <c r="D43" i="5" s="1"/>
  <c r="Z43" i="5" s="1"/>
  <c r="D150" i="12"/>
  <c r="Z150" i="12" s="1"/>
  <c r="D125" i="12"/>
  <c r="Z125" i="12" s="1"/>
  <c r="D75" i="12"/>
  <c r="Z75" i="12" s="1"/>
  <c r="D37" i="12"/>
  <c r="Z37" i="12" s="1"/>
  <c r="D100" i="12"/>
  <c r="Z100" i="12" s="1"/>
  <c r="D55" i="12"/>
  <c r="Z55" i="12" s="1"/>
  <c r="Z21" i="12"/>
  <c r="D152" i="12"/>
  <c r="Z152" i="12" s="1"/>
  <c r="D127" i="12"/>
  <c r="Z127" i="12" s="1"/>
  <c r="D57" i="12"/>
  <c r="Z57" i="12" s="1"/>
  <c r="D39" i="12"/>
  <c r="Z39" i="12" s="1"/>
  <c r="D102" i="12"/>
  <c r="Z102" i="12" s="1"/>
  <c r="D77" i="12"/>
  <c r="Z77" i="12" s="1"/>
  <c r="Z23" i="12"/>
  <c r="D37" i="5"/>
  <c r="Z37" i="5" s="1"/>
  <c r="D148" i="12"/>
  <c r="Z148" i="12" s="1"/>
  <c r="D53" i="12"/>
  <c r="Z53" i="12" s="1"/>
  <c r="D98" i="12"/>
  <c r="Z98" i="12" s="1"/>
  <c r="D35" i="12"/>
  <c r="Z35" i="12" s="1"/>
  <c r="D123" i="12"/>
  <c r="Z123" i="12" s="1"/>
  <c r="D73" i="12"/>
  <c r="Z73" i="12" s="1"/>
  <c r="D144" i="12"/>
  <c r="Z144" i="12" s="1"/>
  <c r="D94" i="12"/>
  <c r="Z94" i="12" s="1"/>
  <c r="D119" i="12"/>
  <c r="Z119" i="12" s="1"/>
  <c r="Z15" i="12"/>
  <c r="D69" i="12"/>
  <c r="Z69" i="12" s="1"/>
  <c r="D31" i="12"/>
  <c r="Z31" i="12" s="1"/>
  <c r="D49" i="12"/>
  <c r="D145" i="12"/>
  <c r="Z145" i="12" s="1"/>
  <c r="D120" i="12"/>
  <c r="Z120" i="12" s="1"/>
  <c r="D50" i="12"/>
  <c r="Z50" i="12" s="1"/>
  <c r="D70" i="12"/>
  <c r="Z70" i="12" s="1"/>
  <c r="D95" i="12"/>
  <c r="Z95" i="12" s="1"/>
  <c r="D32" i="12"/>
  <c r="Z32" i="12" s="1"/>
  <c r="D16" i="5"/>
  <c r="D31" i="5" s="1"/>
  <c r="Z31" i="5" s="1"/>
  <c r="D18" i="5"/>
  <c r="Z18" i="5" s="1"/>
  <c r="D75" i="5"/>
  <c r="Z75" i="5" s="1"/>
  <c r="D55" i="5"/>
  <c r="Z55" i="5" s="1"/>
  <c r="D13" i="5"/>
  <c r="Z13" i="5" s="1"/>
  <c r="Z20" i="5"/>
  <c r="D69" i="5"/>
  <c r="Z69" i="5" s="1"/>
  <c r="D35" i="5"/>
  <c r="Z35" i="5" s="1"/>
  <c r="D51" i="5"/>
  <c r="Z51" i="5" s="1"/>
  <c r="Z14" i="5"/>
  <c r="D45" i="5" l="1"/>
  <c r="Z45" i="5" s="1"/>
  <c r="D29" i="5"/>
  <c r="Z29" i="5" s="1"/>
  <c r="D61" i="5"/>
  <c r="Z61" i="5" s="1"/>
  <c r="Z12" i="5"/>
  <c r="D71" i="5"/>
  <c r="Z71" i="5" s="1"/>
  <c r="Z16" i="5"/>
  <c r="D53" i="5"/>
  <c r="Z53" i="5" s="1"/>
  <c r="D33" i="5"/>
  <c r="Z33" i="5" s="1"/>
  <c r="D65" i="5"/>
  <c r="Z65" i="5" s="1"/>
  <c r="D112" i="12"/>
  <c r="Z49" i="12"/>
  <c r="D27" i="5"/>
  <c r="Z27" i="5" s="1"/>
  <c r="D47" i="5"/>
  <c r="Z47" i="5" s="1"/>
  <c r="D67" i="5"/>
  <c r="Z67" i="5" s="1"/>
  <c r="D62" i="5"/>
  <c r="Z62" i="5" s="1"/>
  <c r="D28" i="5"/>
  <c r="Z28" i="5" s="1"/>
  <c r="D73" i="5"/>
  <c r="Z73" i="5" s="1"/>
  <c r="D44" i="5"/>
  <c r="Z44" i="5" s="1"/>
  <c r="D49" i="5"/>
  <c r="Z49" i="5" s="1"/>
  <c r="Z22" i="5" l="1"/>
  <c r="Z39" i="5"/>
  <c r="Z23" i="5"/>
  <c r="Z84" i="5"/>
  <c r="Z57" i="5"/>
  <c r="Z77" i="5"/>
  <c r="Z79" i="5" l="1"/>
  <c r="G20" i="1" s="1"/>
  <c r="Y16" i="12"/>
  <c r="Z25" i="12"/>
  <c r="Z171" i="12" s="1"/>
  <c r="Y27" i="12" l="1"/>
  <c r="C24" i="12" s="1"/>
  <c r="Z85" i="5"/>
  <c r="Z16" i="12"/>
  <c r="Z170" i="12" s="1"/>
  <c r="E177" i="12"/>
  <c r="F180" i="12" s="1"/>
  <c r="G183" i="12" s="1"/>
  <c r="H186" i="12" s="1"/>
  <c r="E178" i="12" l="1"/>
  <c r="C162" i="12"/>
  <c r="Z162" i="12" s="1"/>
  <c r="Z164" i="12" s="1"/>
  <c r="E194" i="12" s="1"/>
  <c r="C112" i="12"/>
  <c r="Z112" i="12" s="1"/>
  <c r="Z114" i="12" s="1"/>
  <c r="E188" i="12" s="1"/>
  <c r="F191" i="12" s="1"/>
  <c r="G194" i="12" s="1"/>
  <c r="C87" i="12"/>
  <c r="Z87" i="12" s="1"/>
  <c r="C62" i="12"/>
  <c r="Z62" i="12" s="1"/>
  <c r="C42" i="12"/>
  <c r="Z42" i="12" s="1"/>
  <c r="C137" i="12"/>
  <c r="Z137" i="12" s="1"/>
  <c r="Z139" i="12" s="1"/>
  <c r="E191" i="12" s="1"/>
  <c r="F194" i="12" s="1"/>
  <c r="Z24" i="12"/>
  <c r="I177" i="12"/>
  <c r="F181" i="12" l="1"/>
  <c r="I178" i="12"/>
  <c r="Z172" i="12"/>
  <c r="I180" i="12"/>
  <c r="G184" i="12" l="1"/>
  <c r="I181" i="12"/>
  <c r="I186" i="12"/>
  <c r="I183" i="12"/>
  <c r="H187" i="12" l="1"/>
  <c r="I187" i="12" s="1"/>
  <c r="I184" i="12"/>
  <c r="I198" i="12"/>
  <c r="L11" i="9"/>
  <c r="P11" i="9" s="1"/>
  <c r="K57" i="9"/>
  <c r="K139" i="9" s="1"/>
  <c r="I200" i="12" l="1"/>
  <c r="K58" i="9"/>
  <c r="K140" i="9" s="1"/>
  <c r="K59" i="9"/>
  <c r="K141" i="9" s="1"/>
  <c r="K142" i="9" l="1"/>
  <c r="K144" i="9" s="1"/>
  <c r="L19" i="9" l="1"/>
  <c r="K23" i="9"/>
  <c r="L32" i="9"/>
  <c r="K36" i="9"/>
  <c r="K133" i="9" l="1"/>
  <c r="K134" i="9" s="1"/>
  <c r="K136" i="9" s="1"/>
  <c r="K159" i="9" s="1"/>
  <c r="K179" i="9" s="1"/>
  <c r="I1" i="9" s="1"/>
  <c r="L7" i="9" l="1"/>
  <c r="P23" i="9"/>
  <c r="R23" i="9" s="1"/>
  <c r="R38" i="9"/>
  <c r="P44" i="9"/>
  <c r="R44" i="9" s="1"/>
  <c r="P7" i="9"/>
  <c r="CR7" i="9" s="1"/>
  <c r="P62" i="9"/>
  <c r="R62" i="9" s="1"/>
  <c r="R11" i="9"/>
  <c r="O24" i="10"/>
  <c r="P36" i="9" l="1"/>
  <c r="R36" i="9" s="1"/>
  <c r="F25" i="10"/>
  <c r="M25" i="10" s="1"/>
  <c r="F68" i="10"/>
  <c r="S68" i="10" s="1"/>
  <c r="P16" i="9"/>
  <c r="CO61" i="9" s="1"/>
  <c r="P48" i="9"/>
  <c r="R48" i="9" s="1"/>
  <c r="P63" i="9"/>
  <c r="P72" i="9" s="1"/>
  <c r="P153" i="9" s="1"/>
  <c r="R19" i="9"/>
  <c r="CT7" i="9"/>
  <c r="CT11" i="9" s="1"/>
  <c r="CU7" i="9"/>
  <c r="CS7" i="9"/>
  <c r="K24" i="10"/>
  <c r="P42" i="9"/>
  <c r="R32" i="9"/>
  <c r="P169" i="9"/>
  <c r="Q24" i="10"/>
  <c r="M24" i="10"/>
  <c r="S25" i="10" l="1"/>
  <c r="S42" i="10" s="1"/>
  <c r="K68" i="10"/>
  <c r="W68" i="10"/>
  <c r="F69" i="10"/>
  <c r="W69" i="10" s="1"/>
  <c r="P71" i="9"/>
  <c r="P152" i="9" s="1"/>
  <c r="Q25" i="10"/>
  <c r="Q69" i="10" s="1"/>
  <c r="P133" i="9"/>
  <c r="P170" i="9" s="1"/>
  <c r="R72" i="9"/>
  <c r="CO60" i="9"/>
  <c r="P59" i="9"/>
  <c r="R59" i="9" s="1"/>
  <c r="P58" i="9"/>
  <c r="R58" i="9" s="1"/>
  <c r="M68" i="10"/>
  <c r="P147" i="9"/>
  <c r="AE147" i="9" s="1"/>
  <c r="P73" i="9"/>
  <c r="R73" i="9" s="1"/>
  <c r="U68" i="10"/>
  <c r="R16" i="9"/>
  <c r="O68" i="10"/>
  <c r="R63" i="9"/>
  <c r="CO59" i="9"/>
  <c r="P57" i="9"/>
  <c r="P139" i="9" s="1"/>
  <c r="CV7" i="9"/>
  <c r="CV5" i="9" s="1"/>
  <c r="CV11" i="9" s="1"/>
  <c r="AA25" i="10"/>
  <c r="AA42" i="10" s="1"/>
  <c r="CS11" i="9"/>
  <c r="CU11" i="9" s="1"/>
  <c r="M42" i="10"/>
  <c r="K25" i="10"/>
  <c r="K42" i="10" s="1"/>
  <c r="O25" i="10"/>
  <c r="O42" i="10" s="1"/>
  <c r="Q68" i="10"/>
  <c r="S69" i="10"/>
  <c r="S86" i="10" s="1"/>
  <c r="P125" i="9"/>
  <c r="R42" i="9"/>
  <c r="R133" i="9"/>
  <c r="AB24" i="10"/>
  <c r="AE169" i="9"/>
  <c r="R169" i="9"/>
  <c r="AE153" i="9"/>
  <c r="R153" i="9"/>
  <c r="M69" i="10" l="1"/>
  <c r="M86" i="10" s="1"/>
  <c r="U69" i="10"/>
  <c r="U86" i="10" s="1"/>
  <c r="P141" i="9"/>
  <c r="R141" i="9" s="1"/>
  <c r="R57" i="9"/>
  <c r="O69" i="10"/>
  <c r="O86" i="10" s="1"/>
  <c r="AE133" i="9"/>
  <c r="P134" i="9"/>
  <c r="AE134" i="9" s="1"/>
  <c r="AA69" i="10"/>
  <c r="AA86" i="10" s="1"/>
  <c r="K69" i="10"/>
  <c r="K86" i="10" s="1"/>
  <c r="R71" i="9"/>
  <c r="W86" i="10"/>
  <c r="Q86" i="10"/>
  <c r="Q42" i="10"/>
  <c r="P140" i="9"/>
  <c r="AE140" i="9" s="1"/>
  <c r="P148" i="9"/>
  <c r="R148" i="9" s="1"/>
  <c r="AB68" i="10"/>
  <c r="R147" i="9"/>
  <c r="P154" i="9"/>
  <c r="AB25" i="10"/>
  <c r="AB42" i="10" s="1"/>
  <c r="R139" i="9"/>
  <c r="AE139" i="9"/>
  <c r="AE170" i="9"/>
  <c r="R170" i="9"/>
  <c r="AE125" i="9"/>
  <c r="R125" i="9"/>
  <c r="P127" i="9"/>
  <c r="R152" i="9"/>
  <c r="AE152" i="9"/>
  <c r="AE141" i="9" l="1"/>
  <c r="R134" i="9"/>
  <c r="P136" i="9"/>
  <c r="R136" i="9" s="1"/>
  <c r="AB69" i="10"/>
  <c r="P166" i="9" s="1"/>
  <c r="R166" i="9" s="1"/>
  <c r="P142" i="9"/>
  <c r="P144" i="9" s="1"/>
  <c r="R140" i="9"/>
  <c r="P171" i="9"/>
  <c r="R171" i="9" s="1"/>
  <c r="P150" i="9"/>
  <c r="AE150" i="9" s="1"/>
  <c r="AE148" i="9"/>
  <c r="AE154" i="9"/>
  <c r="R154" i="9"/>
  <c r="P155" i="9"/>
  <c r="AE155" i="9" s="1"/>
  <c r="R127" i="9"/>
  <c r="AE127" i="9"/>
  <c r="P162" i="9"/>
  <c r="P128" i="9"/>
  <c r="AE142" i="9" l="1"/>
  <c r="AB86" i="10"/>
  <c r="R150" i="9"/>
  <c r="AE136" i="9"/>
  <c r="R142" i="9"/>
  <c r="AE171" i="9"/>
  <c r="AE166" i="9"/>
  <c r="P157" i="9"/>
  <c r="R157" i="9" s="1"/>
  <c r="R155" i="9"/>
  <c r="AE128" i="9"/>
  <c r="P130" i="9"/>
  <c r="R128" i="9"/>
  <c r="R144" i="9"/>
  <c r="AE144" i="9"/>
  <c r="R162" i="9"/>
  <c r="AE162" i="9"/>
  <c r="P177" i="9"/>
  <c r="R177" i="9" l="1"/>
  <c r="AE177" i="9"/>
  <c r="R130" i="9"/>
  <c r="AE130" i="9"/>
  <c r="P159" i="9"/>
  <c r="R159" i="9" l="1"/>
  <c r="P179" i="9"/>
  <c r="C182" i="9" s="1"/>
  <c r="AE159" i="9"/>
  <c r="C183" i="9" l="1"/>
  <c r="Z11" i="12"/>
  <c r="N1" i="9"/>
  <c r="R179" i="9"/>
  <c r="AE179" i="9"/>
  <c r="AE1" i="9" s="1"/>
  <c r="D13" i="12" s="1"/>
  <c r="D29" i="12" l="1"/>
  <c r="D142" i="12"/>
  <c r="D117" i="12"/>
  <c r="D47" i="12"/>
  <c r="D92" i="12"/>
  <c r="D67" i="12"/>
  <c r="Z29" i="12"/>
  <c r="Z44" i="12" s="1"/>
  <c r="E179" i="12" s="1"/>
  <c r="Z67" i="12"/>
  <c r="Z89" i="12" s="1"/>
  <c r="E185" i="12" s="1"/>
  <c r="Z47" i="12"/>
  <c r="Z64" i="12" s="1"/>
  <c r="E182" i="12" s="1"/>
  <c r="Z13" i="12"/>
  <c r="Z26" i="12" s="1"/>
  <c r="E176" i="12" s="1"/>
  <c r="Z173" i="12" l="1"/>
  <c r="F182" i="12"/>
  <c r="G185" i="12" s="1"/>
  <c r="H188" i="12" s="1"/>
  <c r="F185" i="12"/>
  <c r="G188" i="12" s="1"/>
  <c r="H191" i="12" s="1"/>
  <c r="F179" i="12"/>
  <c r="G182" i="12" s="1"/>
  <c r="H185" i="12" s="1"/>
  <c r="I176" i="12"/>
  <c r="F188" i="12"/>
  <c r="I185" i="12" l="1"/>
  <c r="I182" i="12"/>
  <c r="G191" i="12"/>
  <c r="I188" i="12"/>
  <c r="I179" i="12"/>
  <c r="H194" i="12" l="1"/>
  <c r="I194" i="12" s="1"/>
  <c r="I191" i="12"/>
  <c r="I197" i="12" l="1"/>
  <c r="F199" i="12" l="1"/>
  <c r="J197" i="12"/>
</calcChain>
</file>

<file path=xl/comments1.xml><?xml version="1.0" encoding="utf-8"?>
<comments xmlns="http://schemas.openxmlformats.org/spreadsheetml/2006/main">
  <authors>
    <author>A satisfied Microsoft Office User</author>
    <author>Gabriel Lee Villanueva</author>
  </authors>
  <commentList>
    <comment ref="G84" authorId="0">
      <text>
        <r>
          <rPr>
            <sz val="9"/>
            <color indexed="81"/>
            <rFont val="Tahoma"/>
            <family val="2"/>
          </rPr>
          <t xml:space="preserve">Gabriel Lee Villanueva:
Should this be 1,500 instead?
</t>
        </r>
      </text>
    </comment>
    <comment ref="G87" authorId="1">
      <text>
        <r>
          <rPr>
            <b/>
            <sz val="9"/>
            <color indexed="81"/>
            <rFont val="Tahoma"/>
            <family val="2"/>
          </rPr>
          <t>Gabriel Lee Villanueva:</t>
        </r>
        <r>
          <rPr>
            <sz val="9"/>
            <color indexed="81"/>
            <rFont val="Tahoma"/>
            <family val="2"/>
          </rPr>
          <t xml:space="preserve">
Should this be 1,500 instead?
</t>
        </r>
      </text>
    </comment>
  </commentList>
</comments>
</file>

<file path=xl/comments2.xml><?xml version="1.0" encoding="utf-8"?>
<comments xmlns="http://schemas.openxmlformats.org/spreadsheetml/2006/main">
  <authors>
    <author>Randy Olsen</author>
    <author>Lisa Schwartz</author>
  </authors>
  <commentList>
    <comment ref="G1" authorId="0">
      <text>
        <r>
          <rPr>
            <b/>
            <sz val="9"/>
            <color indexed="81"/>
            <rFont val="Tahoma"/>
            <family val="2"/>
          </rPr>
          <t xml:space="preserve">Randy Olsen:  Data collection costs for preconception cohort is included in rows 12 and below.  This only accounts for recruitment costs for this group, which are significantly higher than PBS or Delivery sampling.
</t>
        </r>
        <r>
          <rPr>
            <sz val="9"/>
            <color indexed="81"/>
            <rFont val="Tahoma"/>
            <family val="2"/>
          </rPr>
          <t xml:space="preserve">
</t>
        </r>
      </text>
    </comment>
    <comment ref="G2" authorId="0">
      <text>
        <r>
          <rPr>
            <b/>
            <sz val="9"/>
            <color indexed="81"/>
            <rFont val="Tahoma"/>
            <family val="2"/>
          </rPr>
          <t>Randy Olsen:</t>
        </r>
        <r>
          <rPr>
            <sz val="9"/>
            <color indexed="81"/>
            <rFont val="Tahoma"/>
            <family val="2"/>
          </rPr>
          <t xml:space="preserve">
The number of women NCS must track, on average, for each birth observed in the 4 year window for the preconception sample.  This can be changed at will.</t>
        </r>
      </text>
    </comment>
    <comment ref="G3" authorId="0">
      <text>
        <r>
          <rPr>
            <b/>
            <sz val="9"/>
            <color indexed="81"/>
            <rFont val="Tahoma"/>
            <family val="2"/>
          </rPr>
          <t>Randy Olsen:</t>
        </r>
        <r>
          <rPr>
            <sz val="9"/>
            <color indexed="81"/>
            <rFont val="Tahoma"/>
            <family val="2"/>
          </rPr>
          <t xml:space="preserve">
Editable.  More than one may be needed if data from first visit becomes </t>
        </r>
      </text>
    </comment>
    <comment ref="G4" authorId="0">
      <text>
        <r>
          <rPr>
            <b/>
            <sz val="9"/>
            <color indexed="81"/>
            <rFont val="Tahoma"/>
            <family val="2"/>
          </rPr>
          <t>Randy Olsen:</t>
        </r>
        <r>
          <rPr>
            <sz val="9"/>
            <color indexed="81"/>
            <rFont val="Tahoma"/>
            <family val="2"/>
          </rPr>
          <t xml:space="preserve">
Editable.  A bit of a guess.</t>
        </r>
      </text>
    </comment>
    <comment ref="A5" authorId="0">
      <text>
        <r>
          <rPr>
            <b/>
            <sz val="9"/>
            <color indexed="81"/>
            <rFont val="Tahoma"/>
            <family val="2"/>
          </rPr>
          <t>Randy Olsen:  the number of enrolled mothers per cluster-year to generate 99,992 total births.</t>
        </r>
        <r>
          <rPr>
            <sz val="9"/>
            <color indexed="81"/>
            <rFont val="Tahoma"/>
            <family val="2"/>
          </rPr>
          <t xml:space="preserve">
</t>
        </r>
      </text>
    </comment>
    <comment ref="D5" authorId="0">
      <text>
        <r>
          <rPr>
            <b/>
            <sz val="9"/>
            <color indexed="81"/>
            <rFont val="Tahoma"/>
            <family val="2"/>
          </rPr>
          <t>Randy Olsen:</t>
        </r>
        <r>
          <rPr>
            <sz val="9"/>
            <color indexed="81"/>
            <rFont val="Tahoma"/>
            <family val="2"/>
          </rPr>
          <t xml:space="preserve">
Mothers to yield 90,012 children.</t>
        </r>
      </text>
    </comment>
    <comment ref="C7" authorId="0">
      <text>
        <r>
          <rPr>
            <b/>
            <sz val="9"/>
            <color indexed="81"/>
            <rFont val="Tahoma"/>
            <family val="2"/>
          </rPr>
          <t>Randy Olsen:</t>
        </r>
        <r>
          <rPr>
            <sz val="9"/>
            <color indexed="81"/>
            <rFont val="Tahoma"/>
            <family val="2"/>
          </rPr>
          <t xml:space="preserve">
Editable.  Blends PBS and Delivery sampling.   This feeds into recruitment cost sheet as well as affecting Prenatal interview count.</t>
        </r>
      </text>
    </comment>
    <comment ref="C8" authorId="0">
      <text>
        <r>
          <rPr>
            <b/>
            <sz val="9"/>
            <color indexed="81"/>
            <rFont val="Tahoma"/>
            <family val="2"/>
          </rPr>
          <t>Randy Olsen:</t>
        </r>
        <r>
          <rPr>
            <sz val="9"/>
            <color indexed="81"/>
            <rFont val="Tahoma"/>
            <family val="2"/>
          </rPr>
          <t xml:space="preserve">  Fraction of second prenatal int relative to 1st.  Minimum 0.2 to accouint for attrition before delivery. to include or exclude secnd prenatal interview.  Decimal ok.</t>
        </r>
      </text>
    </comment>
    <comment ref="C10" authorId="0">
      <text>
        <r>
          <rPr>
            <b/>
            <sz val="9"/>
            <color indexed="81"/>
            <rFont val="Tahoma"/>
            <family val="2"/>
          </rPr>
          <t>Randy Olsen:  
Flag to include or drop 6M nterviews.  Decimal ok to drop some fraction of these interviews.</t>
        </r>
        <r>
          <rPr>
            <sz val="9"/>
            <color indexed="81"/>
            <rFont val="Tahoma"/>
            <family val="2"/>
          </rPr>
          <t xml:space="preserve">
</t>
        </r>
      </text>
    </comment>
    <comment ref="D10" authorId="0">
      <text>
        <r>
          <rPr>
            <b/>
            <sz val="9"/>
            <color indexed="81"/>
            <rFont val="Tahoma"/>
            <family val="2"/>
          </rPr>
          <t>Randy Olsen:</t>
        </r>
        <r>
          <rPr>
            <sz val="9"/>
            <color indexed="81"/>
            <rFont val="Tahoma"/>
            <family val="2"/>
          </rPr>
          <t xml:space="preserve">
Flag to include or drop 9M telephone interview.  Decimal OK.</t>
        </r>
      </text>
    </comment>
    <comment ref="D13" authorId="1">
      <text>
        <r>
          <rPr>
            <b/>
            <sz val="9"/>
            <color indexed="81"/>
            <rFont val="Tahoma"/>
            <family val="2"/>
          </rPr>
          <t>Lisa Schwartz:</t>
        </r>
        <r>
          <rPr>
            <sz val="9"/>
            <color indexed="81"/>
            <rFont val="Tahoma"/>
            <family val="2"/>
          </rPr>
          <t xml:space="preserve">
Randy, this is the total cost over 4 years using NCS PO assumptions</t>
        </r>
      </text>
    </comment>
    <comment ref="D15" authorId="0">
      <text>
        <r>
          <rPr>
            <b/>
            <sz val="9"/>
            <color indexed="81"/>
            <rFont val="Tahoma"/>
            <family val="2"/>
          </rPr>
          <t>Randy Olsen:</t>
        </r>
        <r>
          <rPr>
            <sz val="9"/>
            <color indexed="81"/>
            <rFont val="Tahoma"/>
            <family val="2"/>
          </rPr>
          <t xml:space="preserve">
This field is copied in rows below.  Changing field cost assumptions in the parameters sheet will flow through to B1 and B2 and thence to interview cost numbers below.</t>
        </r>
      </text>
    </comment>
    <comment ref="T174" authorId="0">
      <text>
        <r>
          <rPr>
            <b/>
            <sz val="9"/>
            <color indexed="81"/>
            <rFont val="Tahoma"/>
            <family val="2"/>
          </rPr>
          <t>Randy Olsen:</t>
        </r>
        <r>
          <rPr>
            <sz val="9"/>
            <color indexed="81"/>
            <rFont val="Tahoma"/>
            <family val="2"/>
          </rPr>
          <t xml:space="preserve">
This is where attrition adjustments go.  We assume k% attrition reduces costs k%.  This is because we have not attempted to budget the fixed costs of the filed work.  Normally k% attrition reducescosts by less than k% because of many costs are fixed and don't depend on the case count.  That is not the case here where we ignore fixed costs.  A more holistic budget estimate needs to estimate fixed costs.</t>
        </r>
      </text>
    </comment>
    <comment ref="A177" authorId="0">
      <text>
        <r>
          <rPr>
            <b/>
            <sz val="9"/>
            <color indexed="81"/>
            <rFont val="Tahoma"/>
            <family val="2"/>
          </rPr>
          <t>Randy Olsen:</t>
        </r>
        <r>
          <rPr>
            <sz val="9"/>
            <color indexed="81"/>
            <rFont val="Tahoma"/>
            <family val="2"/>
          </rPr>
          <t xml:space="preserve">
COLA.  This is assumed constant over time.  This can be quickly amended in column to the right
</t>
        </r>
      </text>
    </comment>
  </commentList>
</comments>
</file>

<file path=xl/sharedStrings.xml><?xml version="1.0" encoding="utf-8"?>
<sst xmlns="http://schemas.openxmlformats.org/spreadsheetml/2006/main" count="1794" uniqueCount="678">
  <si>
    <t>FI hours/week</t>
  </si>
  <si>
    <t>FI/FM hours:</t>
  </si>
  <si>
    <t>FM/CO super hrs:</t>
  </si>
  <si>
    <t>FM wage:</t>
  </si>
  <si>
    <t>CO super wage:</t>
  </si>
  <si>
    <t>Call center full cost/hr:</t>
  </si>
  <si>
    <t>DBS unit cost:</t>
  </si>
  <si>
    <t>FI weeks/yr:</t>
  </si>
  <si>
    <t>FM Weeks/yr:</t>
  </si>
  <si>
    <t>Easy case %:</t>
  </si>
  <si>
    <t>Hard Case %:</t>
  </si>
  <si>
    <t>Non-response rate:</t>
  </si>
  <si>
    <t>F2F Expense/case easy:</t>
  </si>
  <si>
    <t>F2F Expense/case hard:</t>
  </si>
  <si>
    <t>ICR &amp; fee rate</t>
  </si>
  <si>
    <t>Number easy cases</t>
  </si>
  <si>
    <t>FI hours easy cases</t>
  </si>
  <si>
    <t>FI hours hard cases</t>
  </si>
  <si>
    <t>Yearly hours produced by one FI</t>
  </si>
  <si>
    <t>Number of FMs needed</t>
  </si>
  <si>
    <t>Number of FIs needed</t>
  </si>
  <si>
    <t>Kit:</t>
  </si>
  <si>
    <t>N Kits</t>
  </si>
  <si>
    <t>Biometric Equipment/FI*yr</t>
  </si>
  <si>
    <t>Respondent fee:</t>
  </si>
  <si>
    <t>CO fringe:</t>
  </si>
  <si>
    <t>FI fringe multiplier:</t>
  </si>
  <si>
    <t>FM fringe multiplier:</t>
  </si>
  <si>
    <t>Kit Cost (laptop+anthropometric)</t>
  </si>
  <si>
    <t>DBS, Oragene? expendables</t>
  </si>
  <si>
    <t>Number Hard cases</t>
  </si>
  <si>
    <t>FI cost inc fringe</t>
  </si>
  <si>
    <t>CO FM supervisor hours</t>
  </si>
  <si>
    <t>CO FM super cost</t>
  </si>
  <si>
    <t>Respondent Fee</t>
  </si>
  <si>
    <t>Interv. Expenses</t>
  </si>
  <si>
    <t>Field costs unloaded</t>
  </si>
  <si>
    <t>Indirects &amp; fee</t>
  </si>
  <si>
    <t>Total cost</t>
  </si>
  <si>
    <t>cost/case</t>
  </si>
  <si>
    <t>Total FI hours in field</t>
  </si>
  <si>
    <t>FI Training hours</t>
  </si>
  <si>
    <t xml:space="preserve">Total FI hours  </t>
  </si>
  <si>
    <t>On-boarding costs</t>
  </si>
  <si>
    <t>Training days</t>
  </si>
  <si>
    <t>Travel to Training inc ground per person</t>
  </si>
  <si>
    <t>Room and meals per day</t>
  </si>
  <si>
    <t>FI recruitment &amp; processing</t>
  </si>
  <si>
    <t>FM hours needed in field</t>
  </si>
  <si>
    <t>FM hours recruiting</t>
  </si>
  <si>
    <t>FM Cost inc fringe</t>
  </si>
  <si>
    <t>Training travel &amp; per diem</t>
  </si>
  <si>
    <t>FIs needed for one round of interviewing</t>
  </si>
  <si>
    <t>Number FIs trained</t>
  </si>
  <si>
    <t>Hrs to cross Doorstep F2F easy:</t>
  </si>
  <si>
    <t>Hrs to cross Doorstep F2F hard:</t>
  </si>
  <si>
    <t>This mix will vary over time.  Resistance will be worst at second and third interview after which extraordinarily difficult cases are abandoned.</t>
  </si>
  <si>
    <t>Smartphone and Laptop cost/FI*yr</t>
  </si>
  <si>
    <t>Train on biospecimens, environmentals &amp; child assessment + interview;  For experienced FI 40 hours likely enough</t>
  </si>
  <si>
    <t>Tinker with this column to check sensitivity</t>
  </si>
  <si>
    <t>Hrs to secure phone cooperation easy cases:</t>
  </si>
  <si>
    <t>Hrs to secure phone cooperation hard cases:</t>
  </si>
  <si>
    <t>This classification will be apparent after 3 rounds or so.  Early rounds will require phone "probing" to reveal easy cases.</t>
  </si>
  <si>
    <t>Assumptions:  (No inflation wage growth adjustment)</t>
  </si>
  <si>
    <t>Hours worked/agent in 26 weeks</t>
  </si>
  <si>
    <t>Training hours F2F:</t>
  </si>
  <si>
    <t>Training hours call center agent</t>
  </si>
  <si>
    <t>Working agents needed</t>
  </si>
  <si>
    <t>Agents trained (20% attrition)</t>
  </si>
  <si>
    <t>Agent hours needed</t>
  </si>
  <si>
    <t>Trainer cost</t>
  </si>
  <si>
    <t>Hours worked/FI in 26 weeks</t>
  </si>
  <si>
    <t>FIs needed</t>
  </si>
  <si>
    <t>Fis trained (10% attrition)</t>
  </si>
  <si>
    <t>FI hours needed</t>
  </si>
  <si>
    <t>FI cost</t>
  </si>
  <si>
    <t>Total FI &amp; agent hours in field</t>
  </si>
  <si>
    <t>Includes training</t>
  </si>
  <si>
    <t>includes training</t>
  </si>
  <si>
    <t>Training days phone</t>
  </si>
  <si>
    <t>Internet training</t>
  </si>
  <si>
    <t>Max phone expense/case hard:</t>
  </si>
  <si>
    <t>Last line on plane</t>
  </si>
  <si>
    <t>Kit Cost (laptop+cell phone)</t>
  </si>
  <si>
    <t>Summary- F2F mode</t>
  </si>
  <si>
    <t>Summary- Max Phone mode</t>
  </si>
  <si>
    <t>Notes:  Assumes cases are worked lightly by a call center to sweep up easy cases.  Web application used to keep procurxement competitive.  After easy cases swept up, move to virtual call center with personal visits used to secure cooperation but phone the primary mode of interview.  The two phases each run 26 weeks.  Internet SAQ is a possibility depending on whether security policy permits it.</t>
  </si>
  <si>
    <t>Notes:  Assumes a F2F interview once sample has been selected and recruited.  FI collects anthropometrics, biospecimens and environmental samples.  However, we assume 14,000 cases are siblings hence can be completed with only more interview time, not more conversion time.</t>
  </si>
  <si>
    <t>N households</t>
  </si>
  <si>
    <t>N siblings when used in main sample</t>
  </si>
  <si>
    <t>Number easy cases (households)</t>
  </si>
  <si>
    <t>Number easy sibs</t>
  </si>
  <si>
    <t>Number hard sibs</t>
  </si>
  <si>
    <t>Cohort 1</t>
  </si>
  <si>
    <t>Pre-natal 1</t>
  </si>
  <si>
    <t>Pre-natal 2</t>
  </si>
  <si>
    <t>Look-back</t>
  </si>
  <si>
    <t>Age 3M</t>
  </si>
  <si>
    <t>Age 6M</t>
  </si>
  <si>
    <t>Age 9M</t>
  </si>
  <si>
    <t>Age 1Y</t>
  </si>
  <si>
    <t>PBS</t>
  </si>
  <si>
    <t>Delivery</t>
  </si>
  <si>
    <t>Cohort 2</t>
  </si>
  <si>
    <t>Age 18M</t>
  </si>
  <si>
    <t>age 2Y</t>
  </si>
  <si>
    <t>Age 30M</t>
  </si>
  <si>
    <t>Age 3Y</t>
  </si>
  <si>
    <t>Age 42M</t>
  </si>
  <si>
    <t>Age 4Y</t>
  </si>
  <si>
    <t>N Households - sib design</t>
  </si>
  <si>
    <t>Number Hard cases (households)</t>
  </si>
  <si>
    <t>F</t>
  </si>
  <si>
    <t>Bumper-Baby 1</t>
  </si>
  <si>
    <t>9% have births next year, 11% year after, 15% year after that</t>
  </si>
  <si>
    <t>Year 1</t>
  </si>
  <si>
    <t>Year 2</t>
  </si>
  <si>
    <t>Year 3</t>
  </si>
  <si>
    <t>Year 4</t>
  </si>
  <si>
    <t>Bumper-Baby 2</t>
  </si>
  <si>
    <t>Bumper-Baby 3</t>
  </si>
  <si>
    <t>Cohort 3</t>
  </si>
  <si>
    <t>Cohort 4</t>
  </si>
  <si>
    <t>T</t>
  </si>
  <si>
    <t xml:space="preserve">F2F = </t>
  </si>
  <si>
    <t>Phone =</t>
  </si>
  <si>
    <t>price</t>
  </si>
  <si>
    <t>Total Int</t>
  </si>
  <si>
    <t>Total 2nd year</t>
  </si>
  <si>
    <t>Total 3rd year</t>
  </si>
  <si>
    <t>Total 4th year</t>
  </si>
  <si>
    <t>Total over 4 years</t>
  </si>
  <si>
    <t>No indirects on call center costs</t>
  </si>
  <si>
    <t>(No inflation)</t>
  </si>
  <si>
    <t>Enrolled at delivery</t>
  </si>
  <si>
    <t>Providers recruited</t>
  </si>
  <si>
    <t>Number of Hospitals recruited</t>
  </si>
  <si>
    <t>Cost per hospital recruited</t>
  </si>
  <si>
    <t>cost per provider recruited</t>
  </si>
  <si>
    <t>delivery enrollment cost per birth</t>
  </si>
  <si>
    <t>provider enrollment cost per birth</t>
  </si>
  <si>
    <t>Births enrolled at providers</t>
  </si>
  <si>
    <t>Hospital, Provider cost</t>
  </si>
  <si>
    <t>Total recruitment costs</t>
  </si>
  <si>
    <t>Fixed Hospital level charge</t>
  </si>
  <si>
    <t>Fixed Provider level charge</t>
  </si>
  <si>
    <t>Enroll @delivery =</t>
  </si>
  <si>
    <t>Enroll @provider</t>
  </si>
  <si>
    <t>Birth-level cost</t>
  </si>
  <si>
    <t>Total recruitment</t>
  </si>
  <si>
    <t>Total Recruited births</t>
  </si>
  <si>
    <t>Avg recruit cost/case</t>
  </si>
  <si>
    <t>plus , needles, wipes, swabs, containers, labels</t>
  </si>
  <si>
    <t>FI/plebotomist wage:</t>
  </si>
  <si>
    <t>Oragene kits&amp;Mailers, specimen supplies:</t>
  </si>
  <si>
    <t>pre-natal interview costs</t>
  </si>
  <si>
    <t>HH Enrollment (over enroll by 20%)</t>
  </si>
  <si>
    <t>(inc 20% loss)</t>
  </si>
  <si>
    <t>First births</t>
  </si>
  <si>
    <t>2nd + parity births (assumed to be .5 * 1st birth figures)</t>
  </si>
  <si>
    <t>STUDY RECRUITING YEAR</t>
  </si>
  <si>
    <t>Born in year 1</t>
  </si>
  <si>
    <t>Born in year 2</t>
  </si>
  <si>
    <t>Born in year 3</t>
  </si>
  <si>
    <t>Born in year 4</t>
  </si>
  <si>
    <t>Mean</t>
  </si>
  <si>
    <t>1 (twin+ births only)</t>
  </si>
  <si>
    <t>Fraction sibs within 4 years</t>
  </si>
  <si>
    <t>Fraction with sibs within 7 years</t>
  </si>
  <si>
    <t>Weighted average*</t>
  </si>
  <si>
    <t>within 4 years</t>
  </si>
  <si>
    <t>within 7 years</t>
  </si>
  <si>
    <t>Number of initially-enrolled births</t>
  </si>
  <si>
    <t>No attrition</t>
  </si>
  <si>
    <t>20% attrition</t>
  </si>
  <si>
    <t>4 years</t>
  </si>
  <si>
    <t>7 years</t>
  </si>
  <si>
    <t>Number of siblings</t>
  </si>
  <si>
    <t>Of which: # twin+</t>
  </si>
  <si>
    <t>NCHS data on intervals between 1st and 2nd births</t>
  </si>
  <si>
    <t>Assumed birth rate between 1st and 2nd births by study year</t>
  </si>
  <si>
    <t>12 or less</t>
  </si>
  <si>
    <t>13-24</t>
  </si>
  <si>
    <t>25-36</t>
  </si>
  <si>
    <t>37-48</t>
  </si>
  <si>
    <t>49+</t>
  </si>
  <si>
    <t>[49+ is assumed to be .09, .06 and .03)</t>
  </si>
  <si>
    <t>Rate of twin+ births</t>
  </si>
  <si>
    <t>* weighted formual: (.402*1st + .598*2nd+)</t>
  </si>
  <si>
    <t>Total children</t>
  </si>
  <si>
    <t>per cent Pre-natal</t>
  </si>
  <si>
    <t>Assumes all FIs are new; experienced FIs 7 days; 5 more for phlebotomy</t>
  </si>
  <si>
    <t>FM hours per FI; added 10 for phlebotomy</t>
  </si>
  <si>
    <t>total cost one prenatal</t>
  </si>
  <si>
    <t>Mother enrolled/yr</t>
  </si>
  <si>
    <t>Enrollment of births post attr.</t>
  </si>
  <si>
    <t>Laptop-cell phone kits</t>
  </si>
  <si>
    <t>Hosp Interview@1.5hr</t>
  </si>
  <si>
    <t>Total 1st year - Hosp; no Age 0 home</t>
  </si>
  <si>
    <t>Total 1st year - Age 0 home; no sep lookback</t>
  </si>
  <si>
    <t>Age 0+</t>
  </si>
  <si>
    <t>Fraction hosp.( vs Age 0+)</t>
  </si>
  <si>
    <t>Births per year</t>
  </si>
  <si>
    <t>number of ob-gyns</t>
  </si>
  <si>
    <t>number of Hospitals</t>
  </si>
  <si>
    <t>number childbirth hosp</t>
  </si>
  <si>
    <t>births per hosp</t>
  </si>
  <si>
    <t>http://www.cdc.gov/nchs/fastats/births.htm  (high)</t>
  </si>
  <si>
    <t>Ten largest hospitals account for about 127,000 births/yr</t>
  </si>
  <si>
    <t>http://www.billianshealthdata.com/news/vitals/InFocus/Top_10_U.S._Hospitals_by_Births</t>
  </si>
  <si>
    <t>http://www.obgmanagement.com/home/article/is-private-obgyn-practice-on-its-way-out/14bee9163b6fbe3e3fba31b2f1182d65.html</t>
  </si>
  <si>
    <t>est fraction in 1 or 2 person practices</t>
  </si>
  <si>
    <t>est mean group size over 2</t>
  </si>
  <si>
    <t>est fraction in solo</t>
  </si>
  <si>
    <t>est fraction in duo</t>
  </si>
  <si>
    <t>http://www.ncbi.nlm.nih.gov/pubmed/21645116</t>
  </si>
  <si>
    <t>Providers per hospital</t>
  </si>
  <si>
    <t>ACOG:  Fraction of members doing OB</t>
  </si>
  <si>
    <t>Note: Drs. Go to gyn only around 50</t>
  </si>
  <si>
    <t>http://www.acog.org/About_ACOG/ACOG_Departments/Professional_Liability/~/media/Departments/Professional%20Liability/2012PLSurveyNational.pdf</t>
  </si>
  <si>
    <t>mean deliveries/month</t>
  </si>
  <si>
    <t>HHS and HRSA 2015 proj Ob-Gyn</t>
  </si>
  <si>
    <t>2008 office-based Ob-Gyn (NCHS)</t>
  </si>
  <si>
    <t>http://www.cdc.gov/nchs/data/series/sr_13/sr13_166.pdf</t>
  </si>
  <si>
    <t>http://bhpr.hrsa.gov/healthworkforce/reports/physwfissues.pdf</t>
  </si>
  <si>
    <t>productivity based est of # Obs</t>
  </si>
  <si>
    <t xml:space="preserve">  guess</t>
  </si>
  <si>
    <t>Note this implies about 155 births per year per practicing OB (roughly 13/month)</t>
  </si>
  <si>
    <t>births/mo per practicing OB</t>
  </si>
  <si>
    <t>births/yr solo practice</t>
  </si>
  <si>
    <t>births/yr duo practice</t>
  </si>
  <si>
    <t>births/yr group practice</t>
  </si>
  <si>
    <t>#solo practices</t>
  </si>
  <si>
    <t>#duo practices</t>
  </si>
  <si>
    <t>#group practices</t>
  </si>
  <si>
    <t>#births solo practices/yr</t>
  </si>
  <si>
    <t>#births duo practices/yr</t>
  </si>
  <si>
    <t>#births group practices/yr</t>
  </si>
  <si>
    <t>total practices</t>
  </si>
  <si>
    <t>practice share solo</t>
  </si>
  <si>
    <t>practice share duo</t>
  </si>
  <si>
    <t>practice share group</t>
  </si>
  <si>
    <t>sampling share solo</t>
  </si>
  <si>
    <t>samling share duo</t>
  </si>
  <si>
    <t>sampling share group</t>
  </si>
  <si>
    <t>group private practice</t>
  </si>
  <si>
    <t>Hospital employee</t>
  </si>
  <si>
    <t>Academic</t>
  </si>
  <si>
    <t>HMO</t>
  </si>
  <si>
    <t>Government</t>
  </si>
  <si>
    <t>Other</t>
  </si>
  <si>
    <t>Total Group practitioners</t>
  </si>
  <si>
    <t>Possible non-practicing</t>
  </si>
  <si>
    <t>est people claiming OB as their area</t>
  </si>
  <si>
    <t>minus likely non-practicing</t>
  </si>
  <si>
    <t>births per ob/gyn*yr</t>
  </si>
  <si>
    <t>births per ob/gyn/mo</t>
  </si>
  <si>
    <t># Hospital emp.</t>
  </si>
  <si>
    <t xml:space="preserve">  See also http://www.ama-assn.org/resources/doc/health-policy/prp-physician-practice-arrangements.pdf</t>
  </si>
  <si>
    <t>SAMPLING AT PSU HOSPITALS</t>
  </si>
  <si>
    <t>SAMPLING AT PRENATAL PROVIDERS</t>
  </si>
  <si>
    <t>PREGNANCY SCREENING (HOSPITAL BASED)</t>
  </si>
  <si>
    <t>PREGNANCY SCREENING (PROVIDER BASED)</t>
  </si>
  <si>
    <t>Total</t>
  </si>
  <si>
    <t>No. of Hospitals</t>
  </si>
  <si>
    <t>No. of Practice Per Hospital</t>
  </si>
  <si>
    <t>No. of Practices</t>
  </si>
  <si>
    <t>No. of Networks</t>
  </si>
  <si>
    <t>Consent Forms</t>
  </si>
  <si>
    <t>Mailing Packets</t>
  </si>
  <si>
    <t>No. of Networks (Webinar)</t>
  </si>
  <si>
    <t>No. of FINTs</t>
  </si>
  <si>
    <t>No. of Mailings</t>
  </si>
  <si>
    <t>FINTS on Site to Screen Women</t>
  </si>
  <si>
    <t>No. of FINT Hours per Week</t>
  </si>
  <si>
    <t>Screening</t>
  </si>
  <si>
    <t>No. of FINT Hours per Day</t>
  </si>
  <si>
    <t>No. of Months per Year</t>
  </si>
  <si>
    <t>No. of Days per Week</t>
  </si>
  <si>
    <t>No. of Weeks per Month</t>
  </si>
  <si>
    <t>Talking to HQ</t>
  </si>
  <si>
    <t>No. of Years</t>
  </si>
  <si>
    <t>% In-Person Visits</t>
  </si>
  <si>
    <t>No. of Hours per Trip</t>
  </si>
  <si>
    <t>Total No. of FINT Hours</t>
  </si>
  <si>
    <t>No. of Practice</t>
  </si>
  <si>
    <t>Field Training</t>
  </si>
  <si>
    <t>Year 1 Training</t>
  </si>
  <si>
    <t>FINT Training</t>
  </si>
  <si>
    <t>First Training</t>
  </si>
  <si>
    <t>Meetings with AHA</t>
  </si>
  <si>
    <t>No. of Trainings per Month</t>
  </si>
  <si>
    <t>No. of Hours per Meeting</t>
  </si>
  <si>
    <t>No. of Months</t>
  </si>
  <si>
    <t>No. of Training per Month</t>
  </si>
  <si>
    <t>Meetings per Year</t>
  </si>
  <si>
    <t>No. of Training Hours + Travel</t>
  </si>
  <si>
    <t>No. of Training Hours</t>
  </si>
  <si>
    <t>Meetings with Prof Org.</t>
  </si>
  <si>
    <t>No. of Organizations per Year</t>
  </si>
  <si>
    <t>Endorsement Letters</t>
  </si>
  <si>
    <t>Training Every Six Months</t>
  </si>
  <si>
    <t>Years 2 - 4 Training</t>
  </si>
  <si>
    <t>No. of Professional Org</t>
  </si>
  <si>
    <t>No. of Trainings</t>
  </si>
  <si>
    <t>No. of Trainings per Year</t>
  </si>
  <si>
    <t>Meeting with Networks of</t>
  </si>
  <si>
    <t>Meeting 1</t>
  </si>
  <si>
    <t>Practices</t>
  </si>
  <si>
    <t>Meeting at Sites</t>
  </si>
  <si>
    <t>(Individual Hospitals)</t>
  </si>
  <si>
    <t>Total No. of TINT Hours</t>
  </si>
  <si>
    <t>Survey Director Oversight</t>
  </si>
  <si>
    <t>No. of Days per Month</t>
  </si>
  <si>
    <t>Communication with</t>
  </si>
  <si>
    <t>Hospital-Based Champion</t>
  </si>
  <si>
    <t>No. of Hours per Month</t>
  </si>
  <si>
    <t>Survey Specilist Receipt/Review</t>
  </si>
  <si>
    <t>Meeting 2</t>
  </si>
  <si>
    <t>of Women Provider List</t>
  </si>
  <si>
    <t>No. of Providers</t>
  </si>
  <si>
    <t xml:space="preserve">Negotiations with </t>
  </si>
  <si>
    <t>No. of Hours per Webinar</t>
  </si>
  <si>
    <t>Webinars per Year</t>
  </si>
  <si>
    <t>No. of Hours per Reneweal</t>
  </si>
  <si>
    <t>Phone Supervision</t>
  </si>
  <si>
    <t>Percent of TINT Time</t>
  </si>
  <si>
    <t>Total No. of SOC Suvery Spec Hours</t>
  </si>
  <si>
    <t>Field Supervision</t>
  </si>
  <si>
    <t>Percent of FINT Time</t>
  </si>
  <si>
    <t>Total No. of SOC Suvery Assoc Hours</t>
  </si>
  <si>
    <t>Payment to Hospital Staff</t>
  </si>
  <si>
    <t>Amount per Birth</t>
  </si>
  <si>
    <t>Total No. of Field SOC Surv Spec Hours</t>
  </si>
  <si>
    <t>Total No. of SOC Suvery Sup Hours</t>
  </si>
  <si>
    <t>No. of Births per Hospital</t>
  </si>
  <si>
    <t>Total No. of Field SOC Surv Assoc Hours</t>
  </si>
  <si>
    <t>Total No. of Field SOC Surv Sup Hours</t>
  </si>
  <si>
    <t>Mail Consent Form &amp; Study</t>
  </si>
  <si>
    <t>No. of Hours per Packet of Data Clerk Time</t>
  </si>
  <si>
    <t>Brochure</t>
  </si>
  <si>
    <t>No. of Packets per Month</t>
  </si>
  <si>
    <t>Amount of Yearly Payments to Hosp</t>
  </si>
  <si>
    <t>Receipt Returned Consent</t>
  </si>
  <si>
    <t>No. of Hours per Consent of Data Clerk Time</t>
  </si>
  <si>
    <t>No. of Forms</t>
  </si>
  <si>
    <t>Total No. of Data Clerk Hours</t>
  </si>
  <si>
    <t>Total Amount</t>
  </si>
  <si>
    <t>Answer Calls from Prospective</t>
  </si>
  <si>
    <t>No. of Hours per Call of Data Clerk Time</t>
  </si>
  <si>
    <t>IRB Annual Fees</t>
  </si>
  <si>
    <t>Cost per Hospital</t>
  </si>
  <si>
    <t>(Individual Practices)</t>
  </si>
  <si>
    <t>No. of Days per PSU</t>
  </si>
  <si>
    <t>Study</t>
  </si>
  <si>
    <t>Percent of Respondents</t>
  </si>
  <si>
    <t>No. of Hours for the Meeting</t>
  </si>
  <si>
    <t>No. of Respondents</t>
  </si>
  <si>
    <t>No. of Hours for Travel</t>
  </si>
  <si>
    <t>No. of Practice per Day</t>
  </si>
  <si>
    <t>Renewal Cost per Hospital</t>
  </si>
  <si>
    <t>Data Clerk Supervision</t>
  </si>
  <si>
    <t>Incentives to Practice</t>
  </si>
  <si>
    <t>No. of Hours</t>
  </si>
  <si>
    <t>Amount per Practice</t>
  </si>
  <si>
    <t>Senior-Level Professional</t>
  </si>
  <si>
    <t>Mid-Level Professional</t>
  </si>
  <si>
    <t>Junior-Level Professional</t>
  </si>
  <si>
    <t>Clerical</t>
  </si>
  <si>
    <t xml:space="preserve">Subtotal Labor </t>
  </si>
  <si>
    <t xml:space="preserve">  Increment</t>
  </si>
  <si>
    <t xml:space="preserve">Total Labor </t>
  </si>
  <si>
    <t>FINT</t>
  </si>
  <si>
    <t xml:space="preserve">Subtotal Field Labor </t>
  </si>
  <si>
    <t xml:space="preserve">Total Field Labor </t>
  </si>
  <si>
    <t>Field SOC Survey Specialist</t>
  </si>
  <si>
    <t>Field SOC Survey Associate</t>
  </si>
  <si>
    <t>Field SOC Survey Supervisor</t>
  </si>
  <si>
    <t xml:space="preserve">Subtotal Field Survey Support Labor </t>
  </si>
  <si>
    <t xml:space="preserve">Total Field Survey Support Labor </t>
  </si>
  <si>
    <t>TINT</t>
  </si>
  <si>
    <t>Data Clerk</t>
  </si>
  <si>
    <t xml:space="preserve">Subtotal TINT Labor </t>
  </si>
  <si>
    <t xml:space="preserve">Total TINT Labor </t>
  </si>
  <si>
    <t>SOC Survey Specialist (Phone)</t>
  </si>
  <si>
    <t>SOC Survey Associate (Phone)</t>
  </si>
  <si>
    <t>SOC Survey Supervisor (Phone)</t>
  </si>
  <si>
    <t xml:space="preserve">Subtotal Phone Survey Support Labor </t>
  </si>
  <si>
    <t xml:space="preserve">Total Phone Survey Support Labor </t>
  </si>
  <si>
    <t>ODCs</t>
  </si>
  <si>
    <t>Computer</t>
  </si>
  <si>
    <t>Survey Ops. Phone,  &amp; Cell Phone (See Schedule)</t>
  </si>
  <si>
    <t>Messenger &amp; Shipping (See Schedule)</t>
  </si>
  <si>
    <t>Postage (See Schedule)</t>
  </si>
  <si>
    <t>Travel (See Schedule)</t>
  </si>
  <si>
    <t>Other Costs</t>
  </si>
  <si>
    <t xml:space="preserve">  IRB Annual Fees</t>
  </si>
  <si>
    <t>Printing (See Schedule)</t>
  </si>
  <si>
    <t>Field Survey Oper. Support (Dept. 51) @</t>
  </si>
  <si>
    <t>Facilities (Depts. 39, 53) @</t>
  </si>
  <si>
    <t>Incentives</t>
  </si>
  <si>
    <t xml:space="preserve">  Payment to Hospital Staff</t>
  </si>
  <si>
    <t xml:space="preserve">  Payment to Practice</t>
  </si>
  <si>
    <t xml:space="preserve">Total ODCs </t>
  </si>
  <si>
    <t>Grand Total</t>
  </si>
  <si>
    <t>(A)</t>
  </si>
  <si>
    <t>(B)</t>
  </si>
  <si>
    <t>(C)</t>
  </si>
  <si>
    <t>(D)</t>
  </si>
  <si>
    <t>(E)</t>
  </si>
  <si>
    <t>(F)</t>
  </si>
  <si>
    <t>(G)</t>
  </si>
  <si>
    <t>(H)</t>
  </si>
  <si>
    <t>(I)</t>
  </si>
  <si>
    <t>(J)</t>
  </si>
  <si>
    <t>(K)</t>
  </si>
  <si>
    <t>(L)</t>
  </si>
  <si>
    <t>(M)</t>
  </si>
  <si>
    <t>(N)</t>
  </si>
  <si>
    <t>(O)</t>
  </si>
  <si>
    <t>(P)</t>
  </si>
  <si>
    <t>(Q)</t>
  </si>
  <si>
    <t>(R)</t>
  </si>
  <si>
    <t>(S)</t>
  </si>
  <si>
    <t>(T)</t>
  </si>
  <si>
    <t>(U)</t>
  </si>
  <si>
    <t>(V)</t>
  </si>
  <si>
    <t>(W)</t>
  </si>
  <si>
    <t>(X)</t>
  </si>
  <si>
    <t>(Y)</t>
  </si>
  <si>
    <t>Airfare or</t>
  </si>
  <si>
    <t>Ground</t>
  </si>
  <si>
    <t>Car</t>
  </si>
  <si>
    <t>Tolls/</t>
  </si>
  <si>
    <t>Local</t>
  </si>
  <si>
    <t>Meals/</t>
  </si>
  <si>
    <t>Lodging</t>
  </si>
  <si>
    <t>No.</t>
  </si>
  <si>
    <t>Trainfare &amp;</t>
  </si>
  <si>
    <t>Trnsp</t>
  </si>
  <si>
    <t>Rental/</t>
  </si>
  <si>
    <t>POV</t>
  </si>
  <si>
    <t>Parking</t>
  </si>
  <si>
    <t>Trip/</t>
  </si>
  <si>
    <t>/Trip</t>
  </si>
  <si>
    <t>Task</t>
  </si>
  <si>
    <t>Purpose</t>
  </si>
  <si>
    <t>From</t>
  </si>
  <si>
    <t>To</t>
  </si>
  <si>
    <t>of</t>
  </si>
  <si>
    <t>Proc Fee</t>
  </si>
  <si>
    <t>Miles/</t>
  </si>
  <si>
    <t>/Trp</t>
  </si>
  <si>
    <t>Person/</t>
  </si>
  <si>
    <t>/Person</t>
  </si>
  <si>
    <t>Percent</t>
  </si>
  <si>
    <t>(H+J+L</t>
  </si>
  <si>
    <t>Trips</t>
  </si>
  <si>
    <t>Persons</t>
  </si>
  <si>
    <t>Days</t>
  </si>
  <si>
    <t>Nights</t>
  </si>
  <si>
    <t>/Trip/Prsn*</t>
  </si>
  <si>
    <t>Airfare</t>
  </si>
  <si>
    <t>Day</t>
  </si>
  <si>
    <t>Rental</t>
  </si>
  <si>
    <t>Trip</t>
  </si>
  <si>
    <t>/Day</t>
  </si>
  <si>
    <t>Parkng</t>
  </si>
  <si>
    <t>Meals</t>
  </si>
  <si>
    <t>/Night</t>
  </si>
  <si>
    <t>Tax</t>
  </si>
  <si>
    <t>with Tax</t>
  </si>
  <si>
    <t>(C*D*G)</t>
  </si>
  <si>
    <t>(C*D*I)</t>
  </si>
  <si>
    <t>(C*E*K)</t>
  </si>
  <si>
    <t>(C*E*P)</t>
  </si>
  <si>
    <t>(C*E*R)</t>
  </si>
  <si>
    <t>(C*D*E*T)</t>
  </si>
  <si>
    <t>(V*[1+W])</t>
  </si>
  <si>
    <t>(C*D*F*X)</t>
  </si>
  <si>
    <t>+U+Y)</t>
  </si>
  <si>
    <t>hospital recruit</t>
  </si>
  <si>
    <t>St. Louis</t>
  </si>
  <si>
    <t>AHA meeting</t>
  </si>
  <si>
    <t>Mtg w prof Hosp org</t>
  </si>
  <si>
    <t>Mtg at indiv hosp</t>
  </si>
  <si>
    <t>practic recruit</t>
  </si>
  <si>
    <t>Mtg w prof Dr. org</t>
  </si>
  <si>
    <t>Mtg with network of practices</t>
  </si>
  <si>
    <t>Mtg at indiv providers</t>
  </si>
  <si>
    <t>FINT training yr 1</t>
  </si>
  <si>
    <t>FINT Travel for hosp recruit and training</t>
  </si>
  <si>
    <t>Attrition Training</t>
  </si>
  <si>
    <t>Bottom line for transfer to total cost sheets</t>
  </si>
  <si>
    <t>Recruitment -25%/year</t>
  </si>
  <si>
    <t>entered  on cost-over-time sheet</t>
  </si>
  <si>
    <t>Blood work for each F2F interview</t>
  </si>
  <si>
    <t>Blood Work</t>
  </si>
  <si>
    <t>Also includes 1 hour for biospecimen packing and shipping</t>
  </si>
  <si>
    <t>Total blood work cost</t>
  </si>
  <si>
    <t>If siblings are in sample, mother onl needs to be "sold" once. Includes 1 hour biospecimen packing and shipping</t>
  </si>
  <si>
    <t>Travel</t>
  </si>
  <si>
    <t>F2F Int Length:</t>
  </si>
  <si>
    <t>Telephone Int Length:</t>
  </si>
  <si>
    <t>"Bumper" children</t>
  </si>
  <si>
    <t>Total cost only one prenatal</t>
  </si>
  <si>
    <t>Baseline for what-if calculations (does not flow through to other sheets)</t>
  </si>
  <si>
    <t>Total Children</t>
  </si>
  <si>
    <t>Children at initial enrollment</t>
  </si>
  <si>
    <t>Age 54M</t>
  </si>
  <si>
    <t>Age 5Y</t>
  </si>
  <si>
    <t>Age 7Y</t>
  </si>
  <si>
    <t>Year 5</t>
  </si>
  <si>
    <t>Year 6</t>
  </si>
  <si>
    <t>Total 6th year</t>
  </si>
  <si>
    <t>Total 5th year</t>
  </si>
  <si>
    <t>Year 7</t>
  </si>
  <si>
    <t>Total 7th year</t>
  </si>
  <si>
    <t>Total 1st year</t>
  </si>
  <si>
    <t>Category</t>
  </si>
  <si>
    <t>Blood</t>
  </si>
  <si>
    <t>Year</t>
  </si>
  <si>
    <t>Cost Cluster A</t>
  </si>
  <si>
    <t>Cost Cluster B</t>
  </si>
  <si>
    <t>Cost Cluster C</t>
  </si>
  <si>
    <t>Cost Cluster D</t>
  </si>
  <si>
    <t>COLA</t>
  </si>
  <si>
    <t>All</t>
  </si>
  <si>
    <t>Baseline</t>
  </si>
  <si>
    <t>Charting Summary</t>
  </si>
  <si>
    <t>Changed call center rate to $30</t>
  </si>
  <si>
    <t>Cases per FI</t>
  </si>
  <si>
    <t>Allowed for Look-back interview to be done within the in-hospital and Age 0 interviews (assume no extra cost)</t>
  </si>
  <si>
    <t>Created an array of retention rates for 7 year cost forecast. Attrition rates based upon when mother is recruited.  If one gets mother, one gets child regardless of age of child.</t>
  </si>
  <si>
    <t>Note changes in attrition assumptions affect the number of enrolled children as more attrition implies fewer subsequent siblings.</t>
  </si>
  <si>
    <t>Baseline 100k</t>
  </si>
  <si>
    <t>Retention</t>
  </si>
  <si>
    <t>Enrollment of births</t>
  </si>
  <si>
    <t>No. of Mid-Level Hours for Design</t>
  </si>
  <si>
    <t>No. of Junior Staff Hours for Mailing</t>
  </si>
  <si>
    <t>No. of Senior Level Hours</t>
  </si>
  <si>
    <t>Total No. of Senior Level Hours</t>
  </si>
  <si>
    <t>No. of Senior Level Staff</t>
  </si>
  <si>
    <t>No. of Mid-level Staff</t>
  </si>
  <si>
    <t>No. of Mid-level Hours per Call</t>
  </si>
  <si>
    <t>Total No. of Mid-level Hours</t>
  </si>
  <si>
    <t>No. of Mid-level Hours for Design</t>
  </si>
  <si>
    <t>No. of Mid-level Hours</t>
  </si>
  <si>
    <t>No. of Mid-level Hours per Day</t>
  </si>
  <si>
    <t>No. of Mid-level Hours per IRB</t>
  </si>
  <si>
    <t>No. of Junior-level Staff</t>
  </si>
  <si>
    <t>Total No. of Junior-level Hours</t>
  </si>
  <si>
    <t>Total No. of Junior-level hours for Mailing</t>
  </si>
  <si>
    <t>No. of Junior-level Hours for Mailing</t>
  </si>
  <si>
    <t>No. of Junior-level Hours per Month</t>
  </si>
  <si>
    <t>Total No. of Junior-level hours</t>
  </si>
  <si>
    <t>(three year lifetime) BP, cardiochek, stadiometer, scale, calibration weights, tape measure; NCS estimate $4k + $250/yr</t>
  </si>
  <si>
    <t>% with 2nd prenatal visit</t>
  </si>
  <si>
    <t>% with Age 0 visit</t>
  </si>
  <si>
    <t>Pre-conception cohort size</t>
  </si>
  <si>
    <t>Ratio tracked to live births</t>
  </si>
  <si>
    <t>Average # tracking phone int</t>
  </si>
  <si>
    <t>Average # in-home visits</t>
  </si>
  <si>
    <t>Pre-con costs B4 Conception</t>
  </si>
  <si>
    <t>Sampling &amp; recruitment + Pre-conception cohort costs B4 conception</t>
  </si>
  <si>
    <t># Kids sampled</t>
  </si>
  <si>
    <t># Siblings</t>
  </si>
  <si>
    <t>Total Kids</t>
  </si>
  <si>
    <t>No. of Hours per Hospital</t>
  </si>
  <si>
    <t>No. of Hours per Providers</t>
  </si>
  <si>
    <t>Gaining Cooperation</t>
  </si>
  <si>
    <t>No. PSUs</t>
  </si>
  <si>
    <t>+O+Q+S</t>
  </si>
  <si>
    <t>HB</t>
  </si>
  <si>
    <t>PB</t>
  </si>
  <si>
    <t>Total Consent Forms</t>
  </si>
  <si>
    <t>Federal CPFF</t>
  </si>
  <si>
    <t>POV @</t>
  </si>
  <si>
    <t>Prsns</t>
  </si>
  <si>
    <t>Rate</t>
  </si>
  <si>
    <t>+N+P+R</t>
  </si>
  <si>
    <t>Per Mile</t>
  </si>
  <si>
    <t>(C*E*O)</t>
  </si>
  <si>
    <t>(C*E*Q)</t>
  </si>
  <si>
    <t>(C*D*E*S)</t>
  </si>
  <si>
    <t>(U*[1+V])</t>
  </si>
  <si>
    <t>(C*D*F*W)</t>
  </si>
  <si>
    <t>+T+X)</t>
  </si>
  <si>
    <t>1</t>
  </si>
  <si>
    <t>1.</t>
  </si>
  <si>
    <t>2.</t>
  </si>
  <si>
    <t>3.</t>
  </si>
  <si>
    <t>4.</t>
  </si>
  <si>
    <t>2</t>
  </si>
  <si>
    <t>5.</t>
  </si>
  <si>
    <t>6.</t>
  </si>
  <si>
    <t>7.</t>
  </si>
  <si>
    <t>8.</t>
  </si>
  <si>
    <t>4</t>
  </si>
  <si>
    <t>9.</t>
  </si>
  <si>
    <t>10.</t>
  </si>
  <si>
    <t>11.</t>
  </si>
  <si>
    <t>5</t>
  </si>
  <si>
    <t>12.</t>
  </si>
  <si>
    <t>13.</t>
  </si>
  <si>
    <t>14.</t>
  </si>
  <si>
    <t>15.</t>
  </si>
  <si>
    <t>16.</t>
  </si>
  <si>
    <t>17.</t>
  </si>
  <si>
    <t>18.</t>
  </si>
  <si>
    <t>19.</t>
  </si>
  <si>
    <t>20.</t>
  </si>
  <si>
    <t>21.</t>
  </si>
  <si>
    <t>22.</t>
  </si>
  <si>
    <t>23.</t>
  </si>
  <si>
    <t>24.</t>
  </si>
  <si>
    <t>25.</t>
  </si>
  <si>
    <t>* Airfare discounted at 55 percent of published economy rate; Train and airfare include $38 processing fee</t>
  </si>
  <si>
    <t>Budget Pricing</t>
  </si>
  <si>
    <t>G&amp;A</t>
  </si>
  <si>
    <t>Fee</t>
  </si>
  <si>
    <t>Escalation</t>
  </si>
  <si>
    <t>TBD (East/West Coast)</t>
  </si>
  <si>
    <t>TBD (Midwest)</t>
  </si>
  <si>
    <t>Do not edit fields in recruitment 250 Hosp 5 providers tab</t>
  </si>
  <si>
    <t>In final sheet, cells in yellow can be changed to match hypothetical field efforts, such as fraction of women getting a second prenatal interview, altering prenatal %, etc.</t>
  </si>
  <si>
    <t>Cells in blue are used to keep track of number of children covered when the number of mothers enrolled in each of the four clusters gets changed.  Two figures in blue  A5 and D5 vary sample size from 100k to 90k</t>
  </si>
  <si>
    <t>the "Parameters" sheet is where most of the field effort parameters are varied, except that sheet contains none of the assumptions used to drive recruitment costs.</t>
  </si>
  <si>
    <t>Use to track sample size assumptions.  Do not edit.</t>
  </si>
  <si>
    <t>COLA and Attrition assumptions can be modified at the bottom of the total cost spreadsheet.</t>
  </si>
  <si>
    <t>Model 2</t>
  </si>
  <si>
    <t>Model 3</t>
  </si>
  <si>
    <t>Model 4</t>
  </si>
  <si>
    <t>Model 5</t>
  </si>
  <si>
    <t>Costs for one of four clusters</t>
  </si>
  <si>
    <t>Includes shipping materials and shipping charges.  Overhead on shipping but not on lab analysis ($200).  Only 5% assayed.</t>
  </si>
  <si>
    <t>Hours per birth</t>
  </si>
  <si>
    <t>No. of FINTS</t>
  </si>
  <si>
    <t xml:space="preserve">Incentives </t>
  </si>
  <si>
    <t>97% Prenatal w/ Pre-con</t>
  </si>
  <si>
    <t>Model 6</t>
  </si>
  <si>
    <t>Model 7</t>
  </si>
  <si>
    <t>Model 8</t>
  </si>
  <si>
    <t>Appropriation</t>
  </si>
  <si>
    <t>97% Prenatal w/o Pre-con</t>
  </si>
  <si>
    <t>97% Prenatal w/o Pre-con drop 1P, 1F2F</t>
  </si>
  <si>
    <t>97% Prenatal w/o Pre-con drop 1P</t>
  </si>
  <si>
    <t>97% Prenatal w/o Pre-con drop 1F2F</t>
  </si>
  <si>
    <t>Cost</t>
  </si>
  <si>
    <t>Base-Model</t>
  </si>
  <si>
    <t>Table 5.1</t>
  </si>
  <si>
    <t>Sample for Cost Neutrality</t>
  </si>
  <si>
    <t>N 4 Neutral</t>
  </si>
  <si>
    <t>interviews</t>
  </si>
  <si>
    <t>Total # interviews</t>
  </si>
  <si>
    <t>Sum interviews (ex Hospital)</t>
  </si>
  <si>
    <t>Agent cost in call center (optional)</t>
  </si>
  <si>
    <t>Used if one budgets for outsourcing of call center work.  $20-30/hr is possible if one outsources, but major survey houses will use internal (and higher priced) hours if they have a choice.</t>
  </si>
  <si>
    <t>If call center hours are outsourced, use this cell to generate total costs and don't add these hours into houirs in B20.</t>
  </si>
  <si>
    <t>Do 6M; 9M?</t>
  </si>
  <si>
    <t>97% Prenatal w/o Pre-con 1 Prenatal v only (C8=.2 instead of .7)</t>
  </si>
  <si>
    <t>per cent Pre-natal moms</t>
  </si>
  <si>
    <t>% cases with sibs</t>
  </si>
  <si>
    <t>5525(100k)</t>
  </si>
  <si>
    <t>5249(95k)</t>
  </si>
  <si>
    <t>4972(90k)</t>
  </si>
  <si>
    <t>Projections per above; copy and paste to right</t>
  </si>
  <si>
    <t>(Preconception enrollment requires  1 home visit)</t>
  </si>
  <si>
    <t>97% Prenatal w/o pre-con 95K, cost neutral</t>
  </si>
  <si>
    <t>where did the 50K come from?  NCS Recruitment /250 gives D4.</t>
  </si>
  <si>
    <t>where did the 50K come from? NCS recruitment/1250 gives D9</t>
  </si>
  <si>
    <t>total cost over 4 years?</t>
  </si>
  <si>
    <t>E10 and F10 should be multiplying E11/F11 by 1.2, rather than E12/F12.</t>
  </si>
  <si>
    <t>Shouldn't E12/F12 be multiplying E10 rather than E11 to account for both twins and attrition?</t>
  </si>
  <si>
    <t>with age zero interviews?</t>
  </si>
  <si>
    <t>How is this different from the age 0 interview?  Why are they added?</t>
  </si>
  <si>
    <t>Aren't we over counting prenatal recruiting costs by assuming all mothers receive two interviews?</t>
  </si>
  <si>
    <t>Is this used?  Hospital and age zero identical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</si>
</sst>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_(* #,##0.000_);_(* \(#,##0.000\);_(* &quot;-&quot;??_);_(@_)"/>
    <numFmt numFmtId="168" formatCode="&quot;$&quot;#,##0"/>
    <numFmt numFmtId="169" formatCode="0.000"/>
    <numFmt numFmtId="170" formatCode="0.0%"/>
    <numFmt numFmtId="171" formatCode="&quot;$&quot;#,##0.00"/>
    <numFmt numFmtId="172" formatCode="&quot;$&quot;#,##0.000"/>
    <numFmt numFmtId="173" formatCode="_([$$-409]* #,##0_);_([$$-409]* \(#,##0\);_([$$-409]*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Arial"/>
      <family val="2"/>
    </font>
    <font>
      <sz val="11"/>
      <name val="Arial"/>
      <family val="2"/>
    </font>
    <font>
      <b/>
      <sz val="11"/>
      <name val="Arial"/>
      <family val="2"/>
    </font>
    <font>
      <sz val="11"/>
      <color rgb="FFFF0000"/>
      <name val="Arial"/>
      <family val="2"/>
    </font>
    <font>
      <sz val="11"/>
      <color theme="3" tint="0.39997558519241921"/>
      <name val="Arial"/>
      <family val="2"/>
    </font>
    <font>
      <sz val="11"/>
      <color rgb="FF00B050"/>
      <name val="Arial"/>
      <family val="2"/>
    </font>
    <font>
      <sz val="11"/>
      <color theme="9" tint="-0.249977111117893"/>
      <name val="Arial"/>
      <family val="2"/>
    </font>
    <font>
      <sz val="11"/>
      <color rgb="FF6600CC"/>
      <name val="Arial"/>
      <family val="2"/>
    </font>
    <font>
      <sz val="11"/>
      <color theme="6" tint="-0.499984740745262"/>
      <name val="Arial"/>
      <family val="2"/>
    </font>
    <font>
      <sz val="11"/>
      <color theme="0" tint="-0.499984740745262"/>
      <name val="Arial"/>
      <family val="2"/>
    </font>
    <font>
      <b/>
      <sz val="11"/>
      <color theme="0" tint="-0.499984740745262"/>
      <name val="Arial"/>
      <family val="2"/>
    </font>
    <font>
      <sz val="11"/>
      <color theme="1"/>
      <name val="Arial"/>
      <family val="2"/>
    </font>
    <font>
      <sz val="11"/>
      <color theme="4" tint="-0.249977111117893"/>
      <name val="Arial"/>
      <family val="2"/>
    </font>
    <font>
      <sz val="9"/>
      <color indexed="81"/>
      <name val="Tahoma"/>
      <family val="2"/>
    </font>
    <font>
      <b/>
      <sz val="9"/>
      <color indexed="81"/>
      <name val="Tahoma"/>
      <family val="2"/>
    </font>
    <font>
      <sz val="10"/>
      <color theme="1"/>
      <name val="Calibri"/>
      <family val="2"/>
      <scheme val="minor"/>
    </font>
    <font>
      <sz val="12"/>
      <name val="Arial"/>
      <family val="2"/>
    </font>
    <font>
      <sz val="10"/>
      <name val="Arial"/>
      <family val="2"/>
    </font>
    <font>
      <b/>
      <sz val="12"/>
      <color indexed="12"/>
      <name val="Arial"/>
      <family val="2"/>
    </font>
    <font>
      <b/>
      <sz val="12"/>
      <name val="Arial"/>
      <family val="2"/>
    </font>
    <font>
      <b/>
      <sz val="10"/>
      <name val="Arial"/>
      <family val="2"/>
    </font>
    <font>
      <sz val="10"/>
      <color indexed="12"/>
      <name val="Arial"/>
      <family val="2"/>
    </font>
    <font>
      <b/>
      <sz val="10"/>
      <color indexed="12"/>
      <name val="Arial"/>
      <family val="2"/>
    </font>
    <font>
      <b/>
      <sz val="10"/>
      <color indexed="9"/>
      <name val="Arial"/>
      <family val="2"/>
    </font>
    <font>
      <b/>
      <sz val="8"/>
      <color indexed="12"/>
      <name val="Arial"/>
      <family val="2"/>
    </font>
    <font>
      <b/>
      <sz val="8"/>
      <name val="Arial"/>
      <family val="2"/>
    </font>
    <font>
      <b/>
      <sz val="10"/>
      <color theme="1"/>
      <name val="Arial"/>
      <family val="2"/>
    </font>
    <font>
      <sz val="10"/>
      <color theme="1"/>
      <name val="Arial"/>
      <family val="2"/>
    </font>
    <font>
      <b/>
      <sz val="12"/>
      <color theme="1"/>
      <name val="Arial"/>
      <family val="2"/>
    </font>
    <font>
      <b/>
      <sz val="8"/>
      <color theme="1"/>
      <name val="Arial"/>
      <family val="2"/>
    </font>
    <font>
      <sz val="11"/>
      <name val="Times New Roman"/>
      <family val="1"/>
    </font>
  </fonts>
  <fills count="1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1"/>
        <bgColor indexed="64"/>
      </patternFill>
    </fill>
    <fill>
      <patternFill patternType="solid">
        <fgColor theme="8" tint="0.39997558519241921"/>
        <bgColor indexed="64"/>
      </patternFill>
    </fill>
    <fill>
      <patternFill patternType="solid">
        <fgColor theme="6"/>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0" fillId="0" borderId="0"/>
    <xf numFmtId="44" fontId="21" fillId="0" borderId="0" applyFont="0" applyFill="0" applyBorder="0" applyAlignment="0" applyProtection="0"/>
    <xf numFmtId="0" fontId="21" fillId="0" borderId="0"/>
    <xf numFmtId="0" fontId="21" fillId="0" borderId="0"/>
    <xf numFmtId="9" fontId="20" fillId="0" borderId="0" applyFont="0" applyFill="0" applyBorder="0" applyAlignment="0" applyProtection="0"/>
    <xf numFmtId="0" fontId="20" fillId="0" borderId="0"/>
    <xf numFmtId="44" fontId="21" fillId="0" borderId="0" applyFont="0" applyFill="0" applyBorder="0" applyAlignment="0" applyProtection="0"/>
    <xf numFmtId="43" fontId="21" fillId="0" borderId="0" applyFont="0" applyFill="0" applyBorder="0" applyAlignment="0" applyProtection="0"/>
    <xf numFmtId="0" fontId="20" fillId="0" borderId="0"/>
    <xf numFmtId="9" fontId="20" fillId="0" borderId="0" applyFont="0" applyFill="0" applyBorder="0" applyAlignment="0" applyProtection="0"/>
    <xf numFmtId="0" fontId="34" fillId="0" borderId="0"/>
    <xf numFmtId="43" fontId="2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xf numFmtId="44" fontId="21" fillId="0" borderId="0" applyFont="0" applyFill="0" applyBorder="0" applyAlignment="0" applyProtection="0"/>
    <xf numFmtId="0" fontId="21" fillId="0" borderId="0"/>
    <xf numFmtId="9"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54">
    <xf numFmtId="0" fontId="0" fillId="0" borderId="0" xfId="0"/>
    <xf numFmtId="3" fontId="0" fillId="0" borderId="0" xfId="0" applyNumberFormat="1"/>
    <xf numFmtId="9" fontId="0" fillId="0" borderId="0" xfId="3" applyFont="1"/>
    <xf numFmtId="164" fontId="0" fillId="0" borderId="0" xfId="2" applyNumberFormat="1" applyFont="1"/>
    <xf numFmtId="165" fontId="0" fillId="0" borderId="0" xfId="1" applyNumberFormat="1" applyFont="1"/>
    <xf numFmtId="0" fontId="0" fillId="0" borderId="0" xfId="0" applyAlignment="1">
      <alignment horizontal="left" indent="1"/>
    </xf>
    <xf numFmtId="165" fontId="0" fillId="0" borderId="0" xfId="0" applyNumberFormat="1"/>
    <xf numFmtId="43" fontId="0" fillId="0" borderId="0" xfId="0" applyNumberFormat="1"/>
    <xf numFmtId="1" fontId="0" fillId="0" borderId="0" xfId="0" applyNumberFormat="1"/>
    <xf numFmtId="0" fontId="0" fillId="0" borderId="0" xfId="0" applyAlignment="1">
      <alignment horizontal="left"/>
    </xf>
    <xf numFmtId="164" fontId="0" fillId="0" borderId="0" xfId="0" applyNumberFormat="1"/>
    <xf numFmtId="0" fontId="2" fillId="0" borderId="0" xfId="0" applyFont="1"/>
    <xf numFmtId="164" fontId="2" fillId="0" borderId="0" xfId="2" applyNumberFormat="1" applyFont="1"/>
    <xf numFmtId="0" fontId="2" fillId="0" borderId="0" xfId="0" applyFont="1" applyAlignment="1">
      <alignment horizontal="left" indent="1"/>
    </xf>
    <xf numFmtId="0" fontId="0" fillId="0" borderId="0" xfId="0" applyAlignment="1">
      <alignment wrapText="1"/>
    </xf>
    <xf numFmtId="0" fontId="0" fillId="0" borderId="0" xfId="0" applyAlignment="1">
      <alignment horizontal="left" wrapText="1" indent="1"/>
    </xf>
    <xf numFmtId="44" fontId="0" fillId="0" borderId="0" xfId="0" applyNumberFormat="1"/>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right" vertical="top" wrapText="1"/>
    </xf>
    <xf numFmtId="166" fontId="0" fillId="0" borderId="0" xfId="0" applyNumberFormat="1" applyAlignment="1">
      <alignment vertical="top" wrapText="1"/>
    </xf>
    <xf numFmtId="0" fontId="2" fillId="0" borderId="0" xfId="0" applyFont="1" applyAlignment="1">
      <alignment vertical="top" wrapText="1"/>
    </xf>
    <xf numFmtId="166" fontId="0" fillId="0" borderId="0" xfId="0" applyNumberFormat="1" applyAlignment="1">
      <alignment horizontal="center" vertical="top" wrapText="1"/>
    </xf>
    <xf numFmtId="3" fontId="2" fillId="3" borderId="0" xfId="0" applyNumberFormat="1" applyFont="1" applyFill="1" applyAlignment="1">
      <alignment vertical="top" wrapText="1"/>
    </xf>
    <xf numFmtId="3" fontId="2" fillId="3" borderId="0" xfId="0" applyNumberFormat="1" applyFont="1" applyFill="1"/>
    <xf numFmtId="3" fontId="2" fillId="0" borderId="0" xfId="0" applyNumberFormat="1" applyFont="1" applyFill="1" applyAlignment="1">
      <alignment vertical="top" wrapText="1"/>
    </xf>
    <xf numFmtId="3" fontId="0" fillId="0" borderId="0" xfId="0" applyNumberFormat="1" applyFont="1" applyFill="1" applyAlignment="1">
      <alignment vertical="top" wrapText="1"/>
    </xf>
    <xf numFmtId="0" fontId="0" fillId="4" borderId="0" xfId="0" applyFill="1" applyAlignment="1">
      <alignment wrapText="1"/>
    </xf>
    <xf numFmtId="0" fontId="0" fillId="2" borderId="0" xfId="0" applyFill="1"/>
    <xf numFmtId="164" fontId="0" fillId="2" borderId="0" xfId="0" applyNumberFormat="1" applyFill="1"/>
    <xf numFmtId="0" fontId="3" fillId="0" borderId="0" xfId="4"/>
    <xf numFmtId="167" fontId="0" fillId="0" borderId="0" xfId="0" applyNumberFormat="1"/>
    <xf numFmtId="0" fontId="0" fillId="0" borderId="0" xfId="0" applyAlignment="1">
      <alignment horizontal="left" indent="2"/>
    </xf>
    <xf numFmtId="0" fontId="5" fillId="0" borderId="0" xfId="0" applyFont="1"/>
    <xf numFmtId="168" fontId="6" fillId="9" borderId="0" xfId="0" applyNumberFormat="1" applyFont="1" applyFill="1" applyAlignment="1">
      <alignment horizontal="left"/>
    </xf>
    <xf numFmtId="0" fontId="6" fillId="9" borderId="0" xfId="0" applyFont="1" applyFill="1" applyAlignment="1">
      <alignment horizontal="center"/>
    </xf>
    <xf numFmtId="0" fontId="5" fillId="6" borderId="0" xfId="0" applyFont="1" applyFill="1"/>
    <xf numFmtId="0" fontId="5" fillId="7" borderId="0" xfId="0" applyFont="1" applyFill="1"/>
    <xf numFmtId="0" fontId="5" fillId="3" borderId="0" xfId="0" applyFont="1" applyFill="1"/>
    <xf numFmtId="0" fontId="5" fillId="8" borderId="0" xfId="0" applyFont="1" applyFill="1"/>
    <xf numFmtId="0" fontId="6" fillId="9" borderId="0" xfId="0" applyFont="1" applyFill="1"/>
    <xf numFmtId="165" fontId="5" fillId="3" borderId="0" xfId="1" applyNumberFormat="1" applyFont="1" applyFill="1"/>
    <xf numFmtId="165" fontId="5" fillId="8" borderId="0" xfId="1" applyNumberFormat="1" applyFont="1" applyFill="1"/>
    <xf numFmtId="0" fontId="7" fillId="6" borderId="0" xfId="0" applyFont="1" applyFill="1"/>
    <xf numFmtId="0" fontId="8" fillId="6" borderId="0" xfId="0" applyFont="1" applyFill="1"/>
    <xf numFmtId="0" fontId="7" fillId="7" borderId="0" xfId="0" applyFont="1" applyFill="1"/>
    <xf numFmtId="0" fontId="9" fillId="3" borderId="0" xfId="0" applyFont="1" applyFill="1"/>
    <xf numFmtId="165" fontId="9" fillId="3" borderId="0" xfId="1" applyNumberFormat="1" applyFont="1" applyFill="1"/>
    <xf numFmtId="0" fontId="9" fillId="8" borderId="0" xfId="0" applyFont="1" applyFill="1"/>
    <xf numFmtId="165" fontId="9" fillId="8" borderId="0" xfId="1" applyNumberFormat="1" applyFont="1" applyFill="1"/>
    <xf numFmtId="0" fontId="8" fillId="7" borderId="0" xfId="0" applyFont="1" applyFill="1"/>
    <xf numFmtId="43" fontId="5" fillId="3" borderId="0" xfId="1" applyNumberFormat="1" applyFont="1" applyFill="1"/>
    <xf numFmtId="43" fontId="5" fillId="8" borderId="0" xfId="1" applyNumberFormat="1" applyFont="1" applyFill="1"/>
    <xf numFmtId="0" fontId="10" fillId="6" borderId="0" xfId="0" applyFont="1" applyFill="1"/>
    <xf numFmtId="9" fontId="5" fillId="6" borderId="0" xfId="0" applyNumberFormat="1" applyFont="1" applyFill="1"/>
    <xf numFmtId="0" fontId="10" fillId="7" borderId="0" xfId="0" applyFont="1" applyFill="1"/>
    <xf numFmtId="9" fontId="5" fillId="7" borderId="0" xfId="0" applyNumberFormat="1" applyFont="1" applyFill="1"/>
    <xf numFmtId="0" fontId="5" fillId="0" borderId="0" xfId="0" applyFont="1" applyFill="1"/>
    <xf numFmtId="0" fontId="7" fillId="3" borderId="0" xfId="0" applyFont="1" applyFill="1"/>
    <xf numFmtId="165" fontId="7" fillId="3" borderId="0" xfId="1" applyNumberFormat="1" applyFont="1" applyFill="1"/>
    <xf numFmtId="0" fontId="7" fillId="8" borderId="0" xfId="0" applyFont="1" applyFill="1"/>
    <xf numFmtId="165" fontId="7" fillId="8" borderId="0" xfId="1" applyNumberFormat="1" applyFont="1" applyFill="1"/>
    <xf numFmtId="0" fontId="8" fillId="8" borderId="0" xfId="0" applyFont="1" applyFill="1"/>
    <xf numFmtId="165" fontId="8" fillId="8" borderId="0" xfId="1" applyNumberFormat="1" applyFont="1" applyFill="1"/>
    <xf numFmtId="9" fontId="5" fillId="8" borderId="0" xfId="0" applyNumberFormat="1" applyFont="1" applyFill="1"/>
    <xf numFmtId="0" fontId="11" fillId="8" borderId="0" xfId="0" applyFont="1" applyFill="1"/>
    <xf numFmtId="165" fontId="11" fillId="8" borderId="0" xfId="1" applyNumberFormat="1" applyFont="1" applyFill="1"/>
    <xf numFmtId="10" fontId="5" fillId="3" borderId="0" xfId="0" applyNumberFormat="1" applyFont="1" applyFill="1"/>
    <xf numFmtId="168" fontId="5" fillId="6" borderId="0" xfId="0" applyNumberFormat="1" applyFont="1" applyFill="1"/>
    <xf numFmtId="0" fontId="11" fillId="3" borderId="0" xfId="0" applyFont="1" applyFill="1"/>
    <xf numFmtId="165" fontId="11" fillId="3" borderId="0" xfId="1" applyNumberFormat="1" applyFont="1" applyFill="1"/>
    <xf numFmtId="169" fontId="5" fillId="8" borderId="0" xfId="0" applyNumberFormat="1" applyFont="1" applyFill="1"/>
    <xf numFmtId="169" fontId="5" fillId="3" borderId="0" xfId="0" applyNumberFormat="1" applyFont="1" applyFill="1"/>
    <xf numFmtId="0" fontId="12" fillId="8" borderId="0" xfId="0" applyFont="1" applyFill="1"/>
    <xf numFmtId="165" fontId="12" fillId="8" borderId="0" xfId="1" applyNumberFormat="1" applyFont="1" applyFill="1"/>
    <xf numFmtId="10" fontId="5" fillId="8" borderId="0" xfId="0" applyNumberFormat="1" applyFont="1" applyFill="1"/>
    <xf numFmtId="168" fontId="5" fillId="3" borderId="0" xfId="0" applyNumberFormat="1" applyFont="1" applyFill="1"/>
    <xf numFmtId="168" fontId="5" fillId="8" borderId="0" xfId="0" applyNumberFormat="1" applyFont="1" applyFill="1"/>
    <xf numFmtId="0" fontId="13" fillId="0" borderId="0" xfId="0" applyFont="1"/>
    <xf numFmtId="0" fontId="14" fillId="9" borderId="0" xfId="0" applyFont="1" applyFill="1"/>
    <xf numFmtId="0" fontId="4" fillId="0" borderId="0" xfId="0" applyFont="1"/>
    <xf numFmtId="0" fontId="4" fillId="9" borderId="0" xfId="0" applyFont="1" applyFill="1"/>
    <xf numFmtId="168" fontId="15" fillId="0" borderId="0" xfId="0" applyNumberFormat="1" applyFont="1"/>
    <xf numFmtId="168" fontId="4" fillId="9" borderId="0" xfId="0" applyNumberFormat="1" applyFont="1" applyFill="1"/>
    <xf numFmtId="168" fontId="5" fillId="7" borderId="0" xfId="0" applyNumberFormat="1" applyFont="1" applyFill="1"/>
    <xf numFmtId="6" fontId="5" fillId="6" borderId="0" xfId="0" applyNumberFormat="1" applyFont="1" applyFill="1"/>
    <xf numFmtId="3" fontId="10" fillId="6" borderId="0" xfId="0" applyNumberFormat="1" applyFont="1" applyFill="1"/>
    <xf numFmtId="3" fontId="10" fillId="7" borderId="0" xfId="0" applyNumberFormat="1" applyFont="1" applyFill="1"/>
    <xf numFmtId="0" fontId="10" fillId="3" borderId="0" xfId="0" applyFont="1" applyFill="1"/>
    <xf numFmtId="3" fontId="10" fillId="3" borderId="0" xfId="0" applyNumberFormat="1" applyFont="1" applyFill="1"/>
    <xf numFmtId="0" fontId="10" fillId="8" borderId="0" xfId="0" applyFont="1" applyFill="1"/>
    <xf numFmtId="3" fontId="10" fillId="8" borderId="0" xfId="0" applyNumberFormat="1" applyFont="1" applyFill="1"/>
    <xf numFmtId="3" fontId="6" fillId="9" borderId="0" xfId="0" applyNumberFormat="1" applyFont="1" applyFill="1"/>
    <xf numFmtId="3" fontId="7" fillId="6" borderId="0" xfId="0" applyNumberFormat="1" applyFont="1" applyFill="1"/>
    <xf numFmtId="3" fontId="7" fillId="7" borderId="0" xfId="0" applyNumberFormat="1" applyFont="1" applyFill="1"/>
    <xf numFmtId="3" fontId="7" fillId="3" borderId="0" xfId="0" applyNumberFormat="1" applyFont="1" applyFill="1"/>
    <xf numFmtId="3" fontId="7" fillId="8" borderId="0" xfId="0" applyNumberFormat="1" applyFont="1" applyFill="1"/>
    <xf numFmtId="0" fontId="16" fillId="6" borderId="0" xfId="0" applyFont="1" applyFill="1"/>
    <xf numFmtId="3" fontId="16" fillId="6" borderId="0" xfId="0" applyNumberFormat="1" applyFont="1" applyFill="1"/>
    <xf numFmtId="0" fontId="16" fillId="7" borderId="0" xfId="0" applyFont="1" applyFill="1"/>
    <xf numFmtId="3" fontId="16" fillId="7" borderId="0" xfId="0" applyNumberFormat="1" applyFont="1" applyFill="1"/>
    <xf numFmtId="0" fontId="16" fillId="3" borderId="0" xfId="0" applyFont="1" applyFill="1"/>
    <xf numFmtId="3" fontId="16" fillId="3" borderId="0" xfId="0" applyNumberFormat="1" applyFont="1" applyFill="1"/>
    <xf numFmtId="0" fontId="16" fillId="8" borderId="0" xfId="0" applyFont="1" applyFill="1"/>
    <xf numFmtId="3" fontId="16" fillId="8" borderId="0" xfId="0" applyNumberFormat="1" applyFont="1" applyFill="1"/>
    <xf numFmtId="0" fontId="13" fillId="6" borderId="0" xfId="0" applyFont="1" applyFill="1"/>
    <xf numFmtId="3" fontId="13" fillId="6" borderId="0" xfId="0" applyNumberFormat="1" applyFont="1" applyFill="1"/>
    <xf numFmtId="0" fontId="13" fillId="7" borderId="0" xfId="0" applyFont="1" applyFill="1"/>
    <xf numFmtId="3" fontId="13" fillId="7" borderId="0" xfId="0" applyNumberFormat="1" applyFont="1" applyFill="1"/>
    <xf numFmtId="0" fontId="13" fillId="3" borderId="0" xfId="0" applyFont="1" applyFill="1"/>
    <xf numFmtId="3" fontId="13" fillId="3" borderId="0" xfId="0" applyNumberFormat="1" applyFont="1" applyFill="1"/>
    <xf numFmtId="0" fontId="13" fillId="8" borderId="0" xfId="0" applyFont="1" applyFill="1"/>
    <xf numFmtId="3" fontId="13" fillId="8" borderId="0" xfId="0" applyNumberFormat="1" applyFont="1" applyFill="1"/>
    <xf numFmtId="0" fontId="4" fillId="6" borderId="0" xfId="0" applyFont="1" applyFill="1"/>
    <xf numFmtId="168" fontId="4" fillId="6" borderId="0" xfId="0" applyNumberFormat="1" applyFont="1" applyFill="1"/>
    <xf numFmtId="0" fontId="4" fillId="7" borderId="0" xfId="0" applyFont="1" applyFill="1"/>
    <xf numFmtId="168" fontId="4" fillId="7" borderId="0" xfId="0" applyNumberFormat="1" applyFont="1" applyFill="1"/>
    <xf numFmtId="0" fontId="4" fillId="3" borderId="0" xfId="0" applyFont="1" applyFill="1"/>
    <xf numFmtId="168" fontId="4" fillId="3" borderId="0" xfId="0" applyNumberFormat="1" applyFont="1" applyFill="1"/>
    <xf numFmtId="0" fontId="4" fillId="8" borderId="0" xfId="0" applyFont="1" applyFill="1"/>
    <xf numFmtId="168" fontId="4" fillId="8" borderId="0" xfId="0" applyNumberFormat="1" applyFont="1" applyFill="1"/>
    <xf numFmtId="168" fontId="6" fillId="9" borderId="0" xfId="0" applyNumberFormat="1" applyFont="1" applyFill="1"/>
    <xf numFmtId="168" fontId="15" fillId="6" borderId="0" xfId="0" applyNumberFormat="1" applyFont="1" applyFill="1"/>
    <xf numFmtId="168" fontId="15" fillId="7" borderId="0" xfId="0" applyNumberFormat="1" applyFont="1" applyFill="1"/>
    <xf numFmtId="168" fontId="15" fillId="3" borderId="0" xfId="0" applyNumberFormat="1" applyFont="1" applyFill="1"/>
    <xf numFmtId="168" fontId="15" fillId="8" borderId="0" xfId="0" applyNumberFormat="1" applyFont="1" applyFill="1"/>
    <xf numFmtId="0" fontId="9" fillId="6" borderId="0" xfId="0" applyFont="1" applyFill="1"/>
    <xf numFmtId="3" fontId="9" fillId="6" borderId="0" xfId="0" applyNumberFormat="1" applyFont="1" applyFill="1"/>
    <xf numFmtId="0" fontId="9" fillId="7" borderId="0" xfId="0" applyFont="1" applyFill="1"/>
    <xf numFmtId="3" fontId="9" fillId="7" borderId="0" xfId="0" applyNumberFormat="1" applyFont="1" applyFill="1"/>
    <xf numFmtId="3" fontId="9" fillId="3" borderId="0" xfId="0" applyNumberFormat="1" applyFont="1" applyFill="1"/>
    <xf numFmtId="3" fontId="9" fillId="8" borderId="0" xfId="0" applyNumberFormat="1" applyFont="1" applyFill="1"/>
    <xf numFmtId="0" fontId="11" fillId="6" borderId="0" xfId="0" applyFont="1" applyFill="1"/>
    <xf numFmtId="0" fontId="11" fillId="7" borderId="0" xfId="0" applyFont="1" applyFill="1"/>
    <xf numFmtId="165" fontId="11" fillId="3" borderId="0" xfId="0" applyNumberFormat="1" applyFont="1" applyFill="1"/>
    <xf numFmtId="0" fontId="12" fillId="6" borderId="0" xfId="0" applyFont="1" applyFill="1"/>
    <xf numFmtId="0" fontId="12" fillId="7" borderId="0" xfId="0" applyFont="1" applyFill="1"/>
    <xf numFmtId="0" fontId="12" fillId="3" borderId="0" xfId="0" applyFont="1" applyFill="1"/>
    <xf numFmtId="165" fontId="12" fillId="3" borderId="0" xfId="0" applyNumberFormat="1" applyFont="1" applyFill="1"/>
    <xf numFmtId="165" fontId="12" fillId="8" borderId="0" xfId="0" applyNumberFormat="1" applyFont="1" applyFill="1"/>
    <xf numFmtId="165" fontId="11" fillId="8" borderId="0" xfId="0" applyNumberFormat="1" applyFont="1" applyFill="1"/>
    <xf numFmtId="0" fontId="6" fillId="0" borderId="0" xfId="0" applyFont="1"/>
    <xf numFmtId="0" fontId="6" fillId="6" borderId="0" xfId="0" applyFont="1" applyFill="1"/>
    <xf numFmtId="0" fontId="6" fillId="7" borderId="0" xfId="0" applyFont="1" applyFill="1"/>
    <xf numFmtId="0" fontId="6" fillId="3" borderId="0" xfId="0" applyFont="1" applyFill="1"/>
    <xf numFmtId="0" fontId="6" fillId="8" borderId="0" xfId="0" applyFont="1" applyFill="1"/>
    <xf numFmtId="7" fontId="5" fillId="0" borderId="0" xfId="0" applyNumberFormat="1" applyFont="1"/>
    <xf numFmtId="5" fontId="5" fillId="0" borderId="0" xfId="0" applyNumberFormat="1" applyFont="1"/>
    <xf numFmtId="0" fontId="19" fillId="0" borderId="0" xfId="0" applyFont="1"/>
    <xf numFmtId="3" fontId="5" fillId="0" borderId="0" xfId="0" applyNumberFormat="1" applyFont="1"/>
    <xf numFmtId="168" fontId="15" fillId="6" borderId="0" xfId="0" applyNumberFormat="1" applyFont="1" applyFill="1" applyAlignment="1">
      <alignment vertical="top"/>
    </xf>
    <xf numFmtId="6" fontId="5" fillId="6" borderId="0" xfId="0" applyNumberFormat="1" applyFont="1" applyFill="1" applyAlignment="1">
      <alignment vertical="top"/>
    </xf>
    <xf numFmtId="168" fontId="15" fillId="7" borderId="0" xfId="0" applyNumberFormat="1" applyFont="1" applyFill="1" applyAlignment="1">
      <alignment vertical="top"/>
    </xf>
    <xf numFmtId="0" fontId="5" fillId="0" borderId="0" xfId="0" applyFont="1" applyAlignment="1">
      <alignment vertical="top"/>
    </xf>
    <xf numFmtId="168" fontId="15" fillId="3" borderId="0" xfId="0" applyNumberFormat="1" applyFont="1" applyFill="1" applyAlignment="1">
      <alignment vertical="top"/>
    </xf>
    <xf numFmtId="168" fontId="15" fillId="8" borderId="0" xfId="0" applyNumberFormat="1" applyFont="1" applyFill="1" applyAlignment="1">
      <alignment vertical="top"/>
    </xf>
    <xf numFmtId="168" fontId="6" fillId="9" borderId="0" xfId="0" applyNumberFormat="1" applyFont="1" applyFill="1" applyAlignment="1">
      <alignment vertical="top"/>
    </xf>
    <xf numFmtId="168" fontId="6" fillId="0" borderId="0" xfId="0" applyNumberFormat="1" applyFont="1"/>
    <xf numFmtId="0" fontId="0" fillId="0" borderId="0" xfId="0" applyAlignment="1">
      <alignment horizontal="center" wrapText="1"/>
    </xf>
    <xf numFmtId="165" fontId="0" fillId="0" borderId="0" xfId="0" applyNumberFormat="1" applyAlignment="1">
      <alignment horizontal="left" indent="1"/>
    </xf>
    <xf numFmtId="165" fontId="2" fillId="0" borderId="0" xfId="0" applyNumberFormat="1" applyFont="1"/>
    <xf numFmtId="0" fontId="0" fillId="0" borderId="0" xfId="0" applyAlignment="1">
      <alignment horizontal="right"/>
    </xf>
    <xf numFmtId="170" fontId="0" fillId="0" borderId="0" xfId="3" applyNumberFormat="1" applyFont="1"/>
    <xf numFmtId="165" fontId="0" fillId="10" borderId="0" xfId="0" applyNumberFormat="1" applyFill="1"/>
    <xf numFmtId="0" fontId="2" fillId="0" borderId="0" xfId="0" applyFont="1" applyAlignment="1">
      <alignment horizontal="center" wrapText="1"/>
    </xf>
    <xf numFmtId="9" fontId="0" fillId="2" borderId="0" xfId="3" applyFont="1" applyFill="1"/>
    <xf numFmtId="15" fontId="0" fillId="0" borderId="0" xfId="0" applyNumberFormat="1"/>
    <xf numFmtId="165" fontId="2" fillId="11" borderId="0" xfId="0" applyNumberFormat="1" applyFont="1" applyFill="1"/>
    <xf numFmtId="171" fontId="5" fillId="0" borderId="0" xfId="0" applyNumberFormat="1" applyFont="1"/>
    <xf numFmtId="0" fontId="2" fillId="0" borderId="0" xfId="0" applyFont="1" applyAlignment="1">
      <alignment horizontal="center"/>
    </xf>
    <xf numFmtId="165" fontId="0" fillId="12" borderId="0" xfId="0" applyNumberFormat="1" applyFill="1"/>
    <xf numFmtId="0" fontId="0" fillId="12" borderId="0" xfId="0" applyFill="1" applyAlignment="1">
      <alignment horizontal="left"/>
    </xf>
    <xf numFmtId="0" fontId="0" fillId="12" borderId="0" xfId="0" applyFill="1"/>
    <xf numFmtId="165" fontId="0" fillId="0" borderId="0" xfId="0" applyNumberFormat="1" applyAlignment="1">
      <alignment horizontal="right"/>
    </xf>
    <xf numFmtId="0" fontId="4" fillId="3" borderId="0" xfId="0" applyFont="1" applyFill="1" applyAlignment="1">
      <alignment horizontal="left"/>
    </xf>
    <xf numFmtId="0" fontId="4" fillId="3" borderId="0" xfId="0" applyFont="1" applyFill="1" applyAlignment="1">
      <alignment horizontal="center"/>
    </xf>
    <xf numFmtId="0" fontId="4" fillId="8" borderId="0" xfId="0" applyFont="1" applyFill="1" applyAlignment="1">
      <alignment horizontal="left"/>
    </xf>
    <xf numFmtId="0" fontId="4" fillId="8" borderId="0" xfId="0" applyFont="1" applyFill="1" applyAlignment="1">
      <alignment horizontal="center"/>
    </xf>
    <xf numFmtId="0" fontId="5" fillId="13" borderId="0" xfId="0" applyFont="1" applyFill="1"/>
    <xf numFmtId="169" fontId="5" fillId="13" borderId="0" xfId="0" applyNumberFormat="1" applyFont="1" applyFill="1"/>
    <xf numFmtId="9" fontId="5" fillId="13" borderId="0" xfId="0" applyNumberFormat="1" applyFont="1" applyFill="1"/>
    <xf numFmtId="165" fontId="5" fillId="13" borderId="0" xfId="1" applyNumberFormat="1" applyFont="1" applyFill="1"/>
    <xf numFmtId="0" fontId="8" fillId="13" borderId="0" xfId="0" applyFont="1" applyFill="1"/>
    <xf numFmtId="165" fontId="8" fillId="13" borderId="0" xfId="1" applyNumberFormat="1" applyFont="1" applyFill="1"/>
    <xf numFmtId="165" fontId="5" fillId="0" borderId="0" xfId="0" applyNumberFormat="1" applyFont="1"/>
    <xf numFmtId="0" fontId="13" fillId="0" borderId="0" xfId="0" applyFont="1" applyFill="1"/>
    <xf numFmtId="0" fontId="4" fillId="0" borderId="0" xfId="0" applyFont="1" applyFill="1"/>
    <xf numFmtId="168" fontId="15" fillId="0" borderId="0" xfId="0" applyNumberFormat="1" applyFont="1" applyFill="1"/>
    <xf numFmtId="0" fontId="5" fillId="0" borderId="0" xfId="0" applyFont="1" applyFill="1" applyAlignment="1">
      <alignment vertical="top"/>
    </xf>
    <xf numFmtId="0" fontId="6" fillId="0" borderId="0" xfId="0" applyFont="1" applyFill="1"/>
    <xf numFmtId="0" fontId="7" fillId="0" borderId="0" xfId="0" applyFont="1"/>
    <xf numFmtId="0" fontId="20" fillId="0" borderId="0" xfId="5"/>
    <xf numFmtId="165" fontId="0" fillId="0" borderId="0" xfId="0" applyNumberFormat="1" applyFill="1"/>
    <xf numFmtId="0" fontId="5" fillId="0" borderId="0" xfId="0" applyFont="1" applyFill="1" applyAlignment="1">
      <alignment vertical="top" wrapText="1"/>
    </xf>
    <xf numFmtId="165" fontId="5" fillId="8" borderId="0" xfId="0" applyNumberFormat="1" applyFont="1" applyFill="1"/>
    <xf numFmtId="0" fontId="0" fillId="0" borderId="0" xfId="0" applyFill="1" applyAlignment="1">
      <alignment horizontal="left"/>
    </xf>
    <xf numFmtId="0" fontId="20" fillId="0" borderId="0" xfId="10"/>
    <xf numFmtId="0" fontId="20" fillId="0" borderId="0" xfId="10" applyProtection="1"/>
    <xf numFmtId="0" fontId="23" fillId="0" borderId="0" xfId="10" applyFont="1" applyProtection="1"/>
    <xf numFmtId="0" fontId="26" fillId="0" borderId="0" xfId="10" applyFont="1" applyProtection="1"/>
    <xf numFmtId="0" fontId="25" fillId="0" borderId="0" xfId="10" applyFont="1" applyProtection="1"/>
    <xf numFmtId="3" fontId="25" fillId="0" borderId="0" xfId="10" applyNumberFormat="1" applyFont="1" applyBorder="1" applyProtection="1"/>
    <xf numFmtId="0" fontId="26" fillId="0" borderId="1" xfId="10" applyFont="1" applyBorder="1" applyProtection="1"/>
    <xf numFmtId="0" fontId="26" fillId="0" borderId="5" xfId="10" applyFont="1" applyBorder="1" applyProtection="1"/>
    <xf numFmtId="0" fontId="26" fillId="0" borderId="6" xfId="10" applyFont="1" applyBorder="1" applyProtection="1"/>
    <xf numFmtId="0" fontId="30" fillId="0" borderId="1" xfId="10" applyFont="1" applyBorder="1" applyAlignment="1" applyProtection="1">
      <alignment horizontal="center"/>
    </xf>
    <xf numFmtId="49" fontId="30" fillId="0" borderId="1" xfId="10" applyNumberFormat="1" applyFont="1" applyBorder="1" applyAlignment="1" applyProtection="1">
      <alignment horizontal="center"/>
    </xf>
    <xf numFmtId="0" fontId="24" fillId="0" borderId="0" xfId="10" applyFont="1" applyProtection="1"/>
    <xf numFmtId="0" fontId="25" fillId="0" borderId="2" xfId="10" applyFont="1" applyBorder="1" applyAlignment="1" applyProtection="1">
      <alignment horizontal="center"/>
    </xf>
    <xf numFmtId="0" fontId="25" fillId="0" borderId="7" xfId="10" applyFont="1" applyBorder="1" applyAlignment="1" applyProtection="1">
      <alignment horizontal="center"/>
    </xf>
    <xf numFmtId="0" fontId="25" fillId="0" borderId="8" xfId="10" applyFont="1" applyBorder="1" applyAlignment="1" applyProtection="1">
      <alignment horizontal="center"/>
    </xf>
    <xf numFmtId="0" fontId="31" fillId="0" borderId="2" xfId="10" applyFont="1" applyBorder="1" applyAlignment="1" applyProtection="1">
      <alignment horizontal="center"/>
    </xf>
    <xf numFmtId="171" fontId="30" fillId="0" borderId="2" xfId="10" applyNumberFormat="1" applyFont="1" applyBorder="1" applyAlignment="1" applyProtection="1">
      <alignment horizontal="center"/>
    </xf>
    <xf numFmtId="0" fontId="30" fillId="0" borderId="2" xfId="10" applyFont="1" applyBorder="1" applyAlignment="1" applyProtection="1">
      <alignment horizontal="center"/>
    </xf>
    <xf numFmtId="168" fontId="31" fillId="0" borderId="2" xfId="10" applyNumberFormat="1" applyFont="1" applyBorder="1" applyAlignment="1" applyProtection="1">
      <alignment horizontal="center"/>
    </xf>
    <xf numFmtId="171" fontId="31" fillId="0" borderId="2" xfId="10" applyNumberFormat="1" applyFont="1" applyBorder="1" applyAlignment="1" applyProtection="1">
      <alignment horizontal="center"/>
    </xf>
    <xf numFmtId="0" fontId="21" fillId="0" borderId="0" xfId="10" applyFont="1" applyProtection="1"/>
    <xf numFmtId="0" fontId="26" fillId="0" borderId="2" xfId="10" applyFont="1" applyBorder="1" applyAlignment="1" applyProtection="1">
      <alignment horizontal="center"/>
    </xf>
    <xf numFmtId="168" fontId="30" fillId="0" borderId="2" xfId="10" applyNumberFormat="1" applyFont="1" applyBorder="1" applyAlignment="1" applyProtection="1">
      <alignment horizontal="center"/>
    </xf>
    <xf numFmtId="0" fontId="24" fillId="0" borderId="0" xfId="10" applyFont="1" applyAlignment="1" applyProtection="1">
      <alignment horizontal="center"/>
    </xf>
    <xf numFmtId="0" fontId="20" fillId="0" borderId="8" xfId="10" applyBorder="1" applyAlignment="1">
      <alignment horizontal="center"/>
    </xf>
    <xf numFmtId="0" fontId="30" fillId="0" borderId="7" xfId="10" applyFont="1" applyBorder="1" applyAlignment="1" applyProtection="1">
      <alignment horizontal="center"/>
    </xf>
    <xf numFmtId="0" fontId="26" fillId="0" borderId="3" xfId="10" applyFont="1" applyBorder="1" applyAlignment="1" applyProtection="1">
      <alignment horizontal="center"/>
    </xf>
    <xf numFmtId="0" fontId="30" fillId="0" borderId="3" xfId="10" applyFont="1" applyBorder="1" applyAlignment="1" applyProtection="1">
      <alignment horizontal="center"/>
    </xf>
    <xf numFmtId="0" fontId="22" fillId="0" borderId="4" xfId="10" applyFont="1" applyBorder="1" applyAlignment="1" applyProtection="1">
      <alignment horizontal="center"/>
    </xf>
    <xf numFmtId="171" fontId="22" fillId="0" borderId="4" xfId="10" applyNumberFormat="1" applyFont="1" applyBorder="1" applyAlignment="1" applyProtection="1">
      <alignment horizontal="center"/>
    </xf>
    <xf numFmtId="171" fontId="32" fillId="0" borderId="4" xfId="10" applyNumberFormat="1" applyFont="1" applyBorder="1" applyAlignment="1" applyProtection="1">
      <alignment horizontal="center"/>
    </xf>
    <xf numFmtId="0" fontId="32" fillId="0" borderId="4" xfId="10" applyFont="1" applyBorder="1" applyAlignment="1" applyProtection="1">
      <alignment horizontal="center"/>
    </xf>
    <xf numFmtId="168" fontId="22" fillId="0" borderId="4" xfId="10" applyNumberFormat="1" applyFont="1" applyBorder="1" applyAlignment="1" applyProtection="1">
      <alignment horizontal="center"/>
    </xf>
    <xf numFmtId="168" fontId="23" fillId="0" borderId="4" xfId="10" applyNumberFormat="1" applyFont="1" applyBorder="1" applyAlignment="1" applyProtection="1">
      <alignment horizontal="center"/>
    </xf>
    <xf numFmtId="10" fontId="22" fillId="0" borderId="4" xfId="10" applyNumberFormat="1" applyFont="1" applyBorder="1" applyAlignment="1" applyProtection="1">
      <alignment horizontal="center"/>
    </xf>
    <xf numFmtId="171" fontId="23" fillId="0" borderId="4" xfId="10" applyNumberFormat="1" applyFont="1" applyBorder="1" applyAlignment="1" applyProtection="1">
      <alignment horizontal="center"/>
    </xf>
    <xf numFmtId="0" fontId="23" fillId="0" borderId="0" xfId="10" applyFont="1" applyAlignment="1" applyProtection="1">
      <alignment horizontal="center"/>
    </xf>
    <xf numFmtId="49" fontId="25" fillId="0" borderId="2" xfId="10" applyNumberFormat="1" applyFont="1" applyBorder="1" applyAlignment="1" applyProtection="1">
      <alignment horizontal="center"/>
    </xf>
    <xf numFmtId="49" fontId="25" fillId="0" borderId="2" xfId="10" applyNumberFormat="1" applyFont="1" applyBorder="1" applyAlignment="1" applyProtection="1">
      <alignment horizontal="right"/>
    </xf>
    <xf numFmtId="49" fontId="25" fillId="0" borderId="2" xfId="10" applyNumberFormat="1" applyFont="1" applyBorder="1" applyAlignment="1" applyProtection="1">
      <alignment horizontal="left"/>
    </xf>
    <xf numFmtId="0" fontId="25" fillId="0" borderId="2" xfId="10" applyFont="1" applyBorder="1" applyProtection="1"/>
    <xf numFmtId="1" fontId="25" fillId="0" borderId="2" xfId="10" applyNumberFormat="1" applyFont="1" applyBorder="1" applyAlignment="1" applyProtection="1">
      <alignment horizontal="center"/>
      <protection locked="0"/>
    </xf>
    <xf numFmtId="171" fontId="25" fillId="0" borderId="2" xfId="10" applyNumberFormat="1" applyFont="1" applyBorder="1" applyProtection="1">
      <protection locked="0"/>
    </xf>
    <xf numFmtId="49" fontId="25" fillId="0" borderId="3" xfId="10" applyNumberFormat="1" applyFont="1" applyBorder="1" applyAlignment="1" applyProtection="1">
      <alignment horizontal="center"/>
    </xf>
    <xf numFmtId="49" fontId="25" fillId="0" borderId="3" xfId="10" applyNumberFormat="1" applyFont="1" applyBorder="1" applyAlignment="1" applyProtection="1">
      <alignment horizontal="right"/>
    </xf>
    <xf numFmtId="49" fontId="25" fillId="0" borderId="3" xfId="10" applyNumberFormat="1" applyFont="1" applyBorder="1" applyAlignment="1" applyProtection="1">
      <alignment horizontal="left"/>
    </xf>
    <xf numFmtId="0" fontId="25" fillId="0" borderId="3" xfId="10" applyFont="1" applyBorder="1" applyProtection="1"/>
    <xf numFmtId="1" fontId="25" fillId="0" borderId="3" xfId="10" applyNumberFormat="1" applyFont="1" applyBorder="1" applyAlignment="1" applyProtection="1">
      <alignment horizontal="center"/>
      <protection locked="0"/>
    </xf>
    <xf numFmtId="0" fontId="25" fillId="0" borderId="3" xfId="10" applyFont="1" applyBorder="1" applyAlignment="1" applyProtection="1">
      <alignment horizontal="center"/>
    </xf>
    <xf numFmtId="171" fontId="25" fillId="0" borderId="3" xfId="10" applyNumberFormat="1" applyFont="1" applyBorder="1" applyProtection="1">
      <protection locked="0"/>
    </xf>
    <xf numFmtId="0" fontId="30" fillId="0" borderId="0" xfId="10" applyFont="1" applyProtection="1"/>
    <xf numFmtId="1" fontId="27" fillId="0" borderId="0" xfId="10" applyNumberFormat="1" applyFont="1" applyAlignment="1" applyProtection="1">
      <alignment horizontal="center"/>
    </xf>
    <xf numFmtId="171" fontId="24" fillId="0" borderId="0" xfId="10" applyNumberFormat="1" applyFont="1" applyProtection="1"/>
    <xf numFmtId="171" fontId="24" fillId="0" borderId="0" xfId="10" applyNumberFormat="1" applyFont="1" applyBorder="1" applyProtection="1"/>
    <xf numFmtId="171" fontId="26" fillId="0" borderId="0" xfId="10" applyNumberFormat="1" applyFont="1" applyProtection="1"/>
    <xf numFmtId="168" fontId="26" fillId="0" borderId="0" xfId="10" applyNumberFormat="1" applyFont="1" applyProtection="1"/>
    <xf numFmtId="10" fontId="26" fillId="0" borderId="0" xfId="10" applyNumberFormat="1" applyFont="1" applyProtection="1"/>
    <xf numFmtId="1" fontId="26" fillId="0" borderId="0" xfId="10" applyNumberFormat="1" applyFont="1" applyAlignment="1" applyProtection="1">
      <alignment horizontal="center"/>
    </xf>
    <xf numFmtId="3" fontId="25" fillId="0" borderId="2" xfId="10" applyNumberFormat="1" applyFont="1" applyBorder="1" applyProtection="1">
      <protection locked="0"/>
    </xf>
    <xf numFmtId="3" fontId="25" fillId="0" borderId="3" xfId="10" applyNumberFormat="1" applyFont="1" applyBorder="1" applyProtection="1">
      <protection locked="0"/>
    </xf>
    <xf numFmtId="10" fontId="25" fillId="0" borderId="4" xfId="14" applyNumberFormat="1" applyFont="1" applyBorder="1" applyProtection="1">
      <protection locked="0"/>
    </xf>
    <xf numFmtId="10" fontId="25" fillId="0" borderId="2" xfId="14" applyNumberFormat="1" applyFont="1" applyBorder="1" applyProtection="1">
      <protection locked="0"/>
    </xf>
    <xf numFmtId="10" fontId="25" fillId="0" borderId="3" xfId="14" applyNumberFormat="1" applyFont="1" applyBorder="1" applyProtection="1">
      <protection locked="0"/>
    </xf>
    <xf numFmtId="49" fontId="25" fillId="0" borderId="0" xfId="10" applyNumberFormat="1" applyFont="1" applyBorder="1" applyAlignment="1" applyProtection="1">
      <alignment horizontal="center"/>
    </xf>
    <xf numFmtId="49" fontId="25" fillId="0" borderId="0" xfId="10" applyNumberFormat="1" applyFont="1" applyBorder="1" applyAlignment="1" applyProtection="1">
      <alignment horizontal="right"/>
    </xf>
    <xf numFmtId="49" fontId="25" fillId="0" borderId="0" xfId="10" applyNumberFormat="1" applyFont="1" applyBorder="1" applyAlignment="1" applyProtection="1">
      <alignment horizontal="left"/>
    </xf>
    <xf numFmtId="0" fontId="25" fillId="0" borderId="0" xfId="10" applyNumberFormat="1" applyFont="1" applyBorder="1" applyProtection="1"/>
    <xf numFmtId="171" fontId="25" fillId="0" borderId="0" xfId="10" applyNumberFormat="1" applyFont="1" applyBorder="1" applyProtection="1">
      <protection locked="0"/>
    </xf>
    <xf numFmtId="3" fontId="25" fillId="0" borderId="0" xfId="10" applyNumberFormat="1" applyFont="1" applyBorder="1" applyProtection="1">
      <protection locked="0"/>
    </xf>
    <xf numFmtId="10" fontId="25" fillId="0" borderId="0" xfId="14" applyNumberFormat="1" applyFont="1" applyBorder="1" applyProtection="1">
      <protection locked="0"/>
    </xf>
    <xf numFmtId="171" fontId="31" fillId="0" borderId="0" xfId="10" applyNumberFormat="1" applyFont="1" applyBorder="1" applyProtection="1">
      <protection locked="0"/>
    </xf>
    <xf numFmtId="168" fontId="31" fillId="13" borderId="3" xfId="10" applyNumberFormat="1" applyFont="1" applyFill="1" applyBorder="1" applyProtection="1"/>
    <xf numFmtId="171" fontId="26" fillId="0" borderId="2" xfId="10" applyNumberFormat="1" applyFont="1" applyBorder="1" applyProtection="1">
      <protection locked="0"/>
    </xf>
    <xf numFmtId="171" fontId="31" fillId="0" borderId="2" xfId="10" applyNumberFormat="1" applyFont="1" applyBorder="1" applyProtection="1"/>
    <xf numFmtId="171" fontId="31" fillId="0" borderId="3" xfId="10" applyNumberFormat="1" applyFont="1" applyBorder="1" applyProtection="1"/>
    <xf numFmtId="171" fontId="24" fillId="0" borderId="3" xfId="10" applyNumberFormat="1" applyFont="1" applyBorder="1" applyProtection="1"/>
    <xf numFmtId="171" fontId="30" fillId="0" borderId="2" xfId="10" applyNumberFormat="1" applyFont="1" applyBorder="1" applyProtection="1"/>
    <xf numFmtId="171" fontId="30" fillId="0" borderId="3" xfId="10" applyNumberFormat="1" applyFont="1" applyBorder="1" applyProtection="1"/>
    <xf numFmtId="171" fontId="30" fillId="0" borderId="0" xfId="10" applyNumberFormat="1" applyFont="1" applyProtection="1"/>
    <xf numFmtId="171" fontId="30" fillId="0" borderId="0" xfId="10" applyNumberFormat="1" applyFont="1" applyBorder="1" applyProtection="1"/>
    <xf numFmtId="168" fontId="30" fillId="0" borderId="0" xfId="10" applyNumberFormat="1" applyFont="1" applyProtection="1"/>
    <xf numFmtId="10" fontId="30" fillId="0" borderId="0" xfId="10" applyNumberFormat="1" applyFont="1" applyProtection="1"/>
    <xf numFmtId="3" fontId="31" fillId="0" borderId="2" xfId="10" applyNumberFormat="1" applyFont="1" applyBorder="1" applyProtection="1"/>
    <xf numFmtId="10" fontId="31" fillId="0" borderId="2" xfId="14" applyNumberFormat="1" applyFont="1" applyBorder="1" applyProtection="1"/>
    <xf numFmtId="3" fontId="31" fillId="0" borderId="3" xfId="10" applyNumberFormat="1" applyFont="1" applyBorder="1" applyProtection="1"/>
    <xf numFmtId="10" fontId="31" fillId="0" borderId="3" xfId="14" applyNumberFormat="1" applyFont="1" applyBorder="1" applyProtection="1"/>
    <xf numFmtId="171" fontId="31" fillId="0" borderId="0" xfId="10" applyNumberFormat="1" applyFont="1" applyBorder="1" applyProtection="1"/>
    <xf numFmtId="3" fontId="31" fillId="0" borderId="0" xfId="10" applyNumberFormat="1" applyFont="1" applyBorder="1" applyProtection="1"/>
    <xf numFmtId="10" fontId="31" fillId="0" borderId="0" xfId="14" applyNumberFormat="1" applyFont="1" applyBorder="1" applyProtection="1"/>
    <xf numFmtId="49" fontId="31" fillId="0" borderId="2" xfId="10" applyNumberFormat="1" applyFont="1" applyBorder="1" applyAlignment="1" applyProtection="1">
      <alignment horizontal="left"/>
    </xf>
    <xf numFmtId="49" fontId="31" fillId="0" borderId="3" xfId="10" applyNumberFormat="1" applyFont="1" applyBorder="1" applyAlignment="1" applyProtection="1">
      <alignment horizontal="left"/>
    </xf>
    <xf numFmtId="49" fontId="33" fillId="0" borderId="2" xfId="10" applyNumberFormat="1" applyFont="1" applyBorder="1" applyAlignment="1" applyProtection="1">
      <alignment horizontal="center"/>
    </xf>
    <xf numFmtId="0" fontId="33" fillId="0" borderId="3" xfId="10" applyFont="1" applyBorder="1" applyAlignment="1" applyProtection="1">
      <alignment horizontal="center"/>
    </xf>
    <xf numFmtId="171" fontId="33" fillId="0" borderId="3" xfId="10" applyNumberFormat="1" applyFont="1" applyBorder="1" applyAlignment="1" applyProtection="1">
      <alignment horizontal="center"/>
    </xf>
    <xf numFmtId="0" fontId="33" fillId="0" borderId="4" xfId="10" applyFont="1" applyBorder="1" applyAlignment="1" applyProtection="1">
      <alignment horizontal="center"/>
    </xf>
    <xf numFmtId="168" fontId="28" fillId="0" borderId="4" xfId="10" applyNumberFormat="1" applyFont="1" applyBorder="1" applyAlignment="1" applyProtection="1">
      <alignment horizontal="center"/>
    </xf>
    <xf numFmtId="168" fontId="29" fillId="0" borderId="4" xfId="10" applyNumberFormat="1" applyFont="1" applyBorder="1" applyAlignment="1" applyProtection="1">
      <alignment horizontal="center"/>
    </xf>
    <xf numFmtId="10" fontId="28" fillId="0" borderId="4" xfId="10" applyNumberFormat="1" applyFont="1" applyBorder="1" applyAlignment="1" applyProtection="1">
      <alignment horizontal="center"/>
    </xf>
    <xf numFmtId="171" fontId="29" fillId="0" borderId="4" xfId="10" applyNumberFormat="1" applyFont="1" applyBorder="1" applyAlignment="1" applyProtection="1">
      <alignment horizontal="center"/>
    </xf>
    <xf numFmtId="172" fontId="26" fillId="0" borderId="2" xfId="10" applyNumberFormat="1" applyFont="1" applyBorder="1" applyProtection="1">
      <protection locked="0"/>
    </xf>
    <xf numFmtId="1" fontId="25" fillId="2" borderId="2" xfId="10" applyNumberFormat="1" applyFont="1" applyFill="1" applyBorder="1" applyAlignment="1" applyProtection="1">
      <alignment horizontal="center"/>
      <protection locked="0"/>
    </xf>
    <xf numFmtId="3" fontId="25" fillId="2" borderId="2" xfId="10" applyNumberFormat="1" applyFont="1" applyFill="1" applyBorder="1" applyAlignment="1" applyProtection="1">
      <alignment horizontal="center"/>
      <protection locked="0"/>
    </xf>
    <xf numFmtId="0" fontId="6" fillId="14" borderId="0" xfId="0" applyFont="1" applyFill="1"/>
    <xf numFmtId="0" fontId="5" fillId="14" borderId="0" xfId="0" applyFont="1" applyFill="1"/>
    <xf numFmtId="165" fontId="5" fillId="14" borderId="0" xfId="1" applyNumberFormat="1" applyFont="1" applyFill="1"/>
    <xf numFmtId="165" fontId="5" fillId="14" borderId="0" xfId="0" applyNumberFormat="1" applyFont="1" applyFill="1"/>
    <xf numFmtId="165" fontId="9" fillId="14" borderId="0" xfId="1" applyNumberFormat="1" applyFont="1" applyFill="1"/>
    <xf numFmtId="43" fontId="5" fillId="14" borderId="0" xfId="1" applyNumberFormat="1" applyFont="1" applyFill="1"/>
    <xf numFmtId="165" fontId="7" fillId="14" borderId="0" xfId="1" applyNumberFormat="1" applyFont="1" applyFill="1"/>
    <xf numFmtId="165" fontId="8" fillId="14" borderId="0" xfId="1" applyNumberFormat="1" applyFont="1" applyFill="1"/>
    <xf numFmtId="9" fontId="5" fillId="14" borderId="0" xfId="0" applyNumberFormat="1" applyFont="1" applyFill="1"/>
    <xf numFmtId="165" fontId="11" fillId="14" borderId="0" xfId="1" applyNumberFormat="1" applyFont="1" applyFill="1"/>
    <xf numFmtId="169" fontId="5" fillId="14" borderId="0" xfId="0" applyNumberFormat="1" applyFont="1" applyFill="1"/>
    <xf numFmtId="165" fontId="12" fillId="14" borderId="0" xfId="1" applyNumberFormat="1" applyFont="1" applyFill="1"/>
    <xf numFmtId="10" fontId="5" fillId="14" borderId="0" xfId="0" applyNumberFormat="1" applyFont="1" applyFill="1"/>
    <xf numFmtId="168" fontId="5" fillId="14" borderId="0" xfId="0" applyNumberFormat="1" applyFont="1" applyFill="1"/>
    <xf numFmtId="3" fontId="10" fillId="14" borderId="0" xfId="0" applyNumberFormat="1" applyFont="1" applyFill="1"/>
    <xf numFmtId="3" fontId="7" fillId="14" borderId="0" xfId="0" applyNumberFormat="1" applyFont="1" applyFill="1"/>
    <xf numFmtId="3" fontId="16" fillId="14" borderId="0" xfId="0" applyNumberFormat="1" applyFont="1" applyFill="1"/>
    <xf numFmtId="3" fontId="13" fillId="14" borderId="0" xfId="0" applyNumberFormat="1" applyFont="1" applyFill="1"/>
    <xf numFmtId="168" fontId="4" fillId="14" borderId="0" xfId="0" applyNumberFormat="1" applyFont="1" applyFill="1"/>
    <xf numFmtId="168" fontId="15" fillId="14" borderId="0" xfId="0" applyNumberFormat="1" applyFont="1" applyFill="1" applyAlignment="1">
      <alignment vertical="top"/>
    </xf>
    <xf numFmtId="3" fontId="9" fillId="14" borderId="0" xfId="0" applyNumberFormat="1" applyFont="1" applyFill="1"/>
    <xf numFmtId="168" fontId="15" fillId="14" borderId="0" xfId="0" applyNumberFormat="1" applyFont="1" applyFill="1"/>
    <xf numFmtId="0" fontId="11" fillId="14" borderId="0" xfId="0" applyFont="1" applyFill="1"/>
    <xf numFmtId="165" fontId="12" fillId="14" borderId="0" xfId="0" applyNumberFormat="1" applyFont="1" applyFill="1"/>
    <xf numFmtId="165" fontId="11" fillId="14" borderId="0" xfId="0" applyNumberFormat="1" applyFont="1" applyFill="1"/>
    <xf numFmtId="0" fontId="4" fillId="14" borderId="0" xfId="0" applyFont="1" applyFill="1" applyAlignment="1">
      <alignment horizontal="left"/>
    </xf>
    <xf numFmtId="0" fontId="4" fillId="14" borderId="0" xfId="0" applyFont="1" applyFill="1" applyAlignment="1">
      <alignment horizontal="center"/>
    </xf>
    <xf numFmtId="0" fontId="9" fillId="14" borderId="0" xfId="0" applyFont="1" applyFill="1"/>
    <xf numFmtId="0" fontId="2" fillId="2" borderId="0" xfId="0" applyFont="1" applyFill="1" applyAlignment="1">
      <alignment horizontal="center" wrapText="1"/>
    </xf>
    <xf numFmtId="165" fontId="5" fillId="3" borderId="0" xfId="0" applyNumberFormat="1" applyFont="1" applyFill="1"/>
    <xf numFmtId="0" fontId="0" fillId="0" borderId="0" xfId="0" applyAlignment="1">
      <alignment horizontal="center"/>
    </xf>
    <xf numFmtId="173" fontId="0" fillId="0" borderId="0" xfId="0" applyNumberFormat="1"/>
    <xf numFmtId="0" fontId="2" fillId="0" borderId="0" xfId="0" applyFont="1" applyAlignment="1">
      <alignment horizontal="right"/>
    </xf>
    <xf numFmtId="168" fontId="0" fillId="15" borderId="0" xfId="0" applyNumberFormat="1" applyFill="1"/>
    <xf numFmtId="170" fontId="0" fillId="12" borderId="0" xfId="3" applyNumberFormat="1" applyFont="1" applyFill="1"/>
    <xf numFmtId="164" fontId="2" fillId="0" borderId="0" xfId="0" applyNumberFormat="1" applyFont="1"/>
    <xf numFmtId="0" fontId="0" fillId="0" borderId="0" xfId="0" applyFill="1"/>
    <xf numFmtId="0" fontId="0" fillId="0" borderId="0" xfId="0" applyAlignment="1">
      <alignment horizontal="left" vertical="top" wrapText="1"/>
    </xf>
    <xf numFmtId="0" fontId="2" fillId="0" borderId="0" xfId="0" applyFont="1" applyAlignment="1">
      <alignment horizontal="center" vertical="top" wrapText="1"/>
    </xf>
    <xf numFmtId="0" fontId="0" fillId="5" borderId="0" xfId="0" applyFill="1" applyAlignment="1">
      <alignment horizontal="center" wrapText="1"/>
    </xf>
    <xf numFmtId="168" fontId="4" fillId="6" borderId="0" xfId="0" applyNumberFormat="1" applyFont="1" applyFill="1" applyAlignment="1">
      <alignment horizontal="left"/>
    </xf>
    <xf numFmtId="0" fontId="4" fillId="6" borderId="0" xfId="0" applyFont="1" applyFill="1" applyAlignment="1">
      <alignment horizontal="left"/>
    </xf>
    <xf numFmtId="168" fontId="6" fillId="7" borderId="0" xfId="0" applyNumberFormat="1" applyFont="1" applyFill="1" applyAlignment="1">
      <alignment horizontal="left"/>
    </xf>
    <xf numFmtId="0" fontId="0" fillId="7" borderId="0" xfId="0" applyFill="1" applyAlignment="1"/>
    <xf numFmtId="168" fontId="4" fillId="3" borderId="0" xfId="0" applyNumberFormat="1" applyFont="1" applyFill="1" applyAlignment="1">
      <alignment horizontal="left"/>
    </xf>
    <xf numFmtId="0" fontId="4" fillId="3" borderId="0" xfId="0" applyFont="1" applyFill="1" applyAlignment="1">
      <alignment horizontal="left"/>
    </xf>
    <xf numFmtId="168" fontId="4" fillId="8" borderId="0" xfId="0" applyNumberFormat="1" applyFont="1" applyFill="1" applyAlignment="1">
      <alignment horizontal="left"/>
    </xf>
    <xf numFmtId="0" fontId="4" fillId="8" borderId="0" xfId="0" applyFont="1" applyFill="1" applyAlignment="1">
      <alignment horizontal="left"/>
    </xf>
    <xf numFmtId="0" fontId="4" fillId="6" borderId="0" xfId="0" applyFont="1" applyFill="1" applyAlignment="1">
      <alignment horizontal="center"/>
    </xf>
    <xf numFmtId="0" fontId="4" fillId="7" borderId="0" xfId="0" applyFont="1" applyFill="1" applyAlignment="1">
      <alignment horizontal="center"/>
    </xf>
    <xf numFmtId="0" fontId="4" fillId="3" borderId="0" xfId="0" applyFont="1" applyFill="1" applyAlignment="1">
      <alignment horizontal="center"/>
    </xf>
    <xf numFmtId="0" fontId="4" fillId="8" borderId="0" xfId="0" applyFont="1" applyFill="1" applyAlignment="1">
      <alignment horizontal="center"/>
    </xf>
    <xf numFmtId="0" fontId="30" fillId="0" borderId="7" xfId="10" applyFont="1" applyBorder="1" applyAlignment="1" applyProtection="1">
      <alignment horizontal="center"/>
    </xf>
    <xf numFmtId="0" fontId="20" fillId="0" borderId="8" xfId="10" applyBorder="1" applyAlignment="1">
      <alignment horizontal="center"/>
    </xf>
    <xf numFmtId="0" fontId="26" fillId="0" borderId="9" xfId="10" applyFont="1" applyBorder="1" applyAlignment="1" applyProtection="1">
      <alignment horizontal="center"/>
    </xf>
    <xf numFmtId="0" fontId="26" fillId="0" borderId="10" xfId="10" applyFont="1" applyBorder="1" applyAlignment="1" applyProtection="1">
      <alignment horizontal="center"/>
    </xf>
  </cellXfs>
  <cellStyles count="34">
    <cellStyle name="Comma" xfId="1" builtinId="3"/>
    <cellStyle name="Comma 2" xfId="12"/>
    <cellStyle name="Comma 3" xfId="18"/>
    <cellStyle name="Comma 3 2" xfId="31"/>
    <cellStyle name="Comma 4" xfId="29"/>
    <cellStyle name="Comma 5" xfId="22"/>
    <cellStyle name="Comma 6" xfId="16"/>
    <cellStyle name="Currency" xfId="2" builtinId="4"/>
    <cellStyle name="Currency 2" xfId="11"/>
    <cellStyle name="Currency 3" xfId="19"/>
    <cellStyle name="Currency 3 2" xfId="32"/>
    <cellStyle name="Currency 4" xfId="26"/>
    <cellStyle name="Currency 5" xfId="23"/>
    <cellStyle name="Currency 6" xfId="6"/>
    <cellStyle name="Hyperlink" xfId="4" builtinId="8"/>
    <cellStyle name="Normal" xfId="0" builtinId="0"/>
    <cellStyle name="Normal 2" xfId="7"/>
    <cellStyle name="Normal 2 2" xfId="27"/>
    <cellStyle name="Normal 3" xfId="8"/>
    <cellStyle name="Normal 4" xfId="10"/>
    <cellStyle name="Normal 4 2" xfId="15"/>
    <cellStyle name="Normal 5" xfId="13"/>
    <cellStyle name="Normal 6" xfId="17"/>
    <cellStyle name="Normal 6 2" xfId="30"/>
    <cellStyle name="Normal 7" xfId="25"/>
    <cellStyle name="Normal 8" xfId="21"/>
    <cellStyle name="Normal 9" xfId="5"/>
    <cellStyle name="Percent" xfId="3" builtinId="5"/>
    <cellStyle name="Percent 2" xfId="14"/>
    <cellStyle name="Percent 3" xfId="20"/>
    <cellStyle name="Percent 3 2" xfId="33"/>
    <cellStyle name="Percent 4" xfId="28"/>
    <cellStyle name="Percent 5" xfId="24"/>
    <cellStyle name="Percent 6" xfId="9"/>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1</a:t>
            </a:r>
          </a:p>
          <a:p>
            <a:pPr>
              <a:defRPr sz="1400" b="0" i="0" u="none" strike="noStrike" kern="1200" spc="0" baseline="0">
                <a:solidFill>
                  <a:schemeClr val="tx1">
                    <a:lumMod val="65000"/>
                    <a:lumOff val="35000"/>
                  </a:schemeClr>
                </a:solidFill>
                <a:latin typeface="+mn-lt"/>
                <a:ea typeface="+mn-ea"/>
                <a:cs typeface="+mn-cs"/>
              </a:defRPr>
            </a:pPr>
            <a:r>
              <a:rPr lang="en-US"/>
              <a:t> Cost Scenarios</a:t>
            </a:r>
          </a:p>
        </c:rich>
      </c:tx>
      <c:layout>
        <c:manualLayout>
          <c:xMode val="edge"/>
          <c:yMode val="edge"/>
          <c:x val="0.44657849987061654"/>
          <c:y val="1.3039934800325998E-2"/>
        </c:manualLayout>
      </c:layout>
      <c:overlay val="0"/>
      <c:spPr>
        <a:noFill/>
        <a:ln>
          <a:noFill/>
        </a:ln>
        <a:effectLst/>
      </c:spPr>
    </c:title>
    <c:autoTitleDeleted val="0"/>
    <c:plotArea>
      <c:layout>
        <c:manualLayout>
          <c:layoutTarget val="inner"/>
          <c:xMode val="edge"/>
          <c:yMode val="edge"/>
          <c:x val="0.15524759405074429"/>
          <c:y val="0.19453272497417037"/>
          <c:w val="0.81419685039370349"/>
          <c:h val="0.60360343710092701"/>
        </c:manualLayout>
      </c:layout>
      <c:lineChart>
        <c:grouping val="standard"/>
        <c:varyColors val="0"/>
        <c:ser>
          <c:idx val="0"/>
          <c:order val="0"/>
          <c:tx>
            <c:v>Baseline</c:v>
          </c:tx>
          <c:spPr>
            <a:ln w="28575" cap="rnd">
              <a:solidFill>
                <a:schemeClr val="accent1"/>
              </a:solidFill>
              <a:prstDash val="sysDash"/>
              <a:round/>
            </a:ln>
            <a:effectLst/>
          </c:spPr>
          <c:marker>
            <c:symbol val="none"/>
          </c:marker>
          <c:val>
            <c:numRef>
              <c:f>'Cost year 1-7 what-if'!$K$203:$K$209</c:f>
              <c:numCache>
                <c:formatCode>_("$"* #,##0_);_("$"* \(#,##0\);_("$"* "-"??_);_(@_)</c:formatCode>
                <c:ptCount val="7"/>
                <c:pt idx="0">
                  <c:v>62.335010807801702</c:v>
                </c:pt>
                <c:pt idx="1">
                  <c:v>126.55507617827445</c:v>
                </c:pt>
                <c:pt idx="2">
                  <c:v>206.41105537811274</c:v>
                </c:pt>
                <c:pt idx="3">
                  <c:v>306.77180953874137</c:v>
                </c:pt>
                <c:pt idx="4">
                  <c:v>293.90111683990807</c:v>
                </c:pt>
                <c:pt idx="5">
                  <c:v>271.92168491650034</c:v>
                </c:pt>
                <c:pt idx="6">
                  <c:v>227.37004640066212</c:v>
                </c:pt>
              </c:numCache>
            </c:numRef>
          </c:val>
          <c:smooth val="0"/>
        </c:ser>
        <c:ser>
          <c:idx val="1"/>
          <c:order val="1"/>
          <c:tx>
            <c:v>Model 2</c:v>
          </c:tx>
          <c:spPr>
            <a:ln w="28575" cap="rnd">
              <a:solidFill>
                <a:schemeClr val="accent2"/>
              </a:solidFill>
              <a:round/>
            </a:ln>
            <a:effectLst/>
          </c:spPr>
          <c:marker>
            <c:symbol val="none"/>
          </c:marker>
          <c:val>
            <c:numRef>
              <c:f>'Cost year 1-7 what-if'!$L$203:$L$209</c:f>
              <c:numCache>
                <c:formatCode>_("$"* #,##0_);_("$"* \(#,##0\);_("$"* "-"??_);_(@_)</c:formatCode>
                <c:ptCount val="7"/>
                <c:pt idx="0">
                  <c:v>70.006714110527597</c:v>
                </c:pt>
                <c:pt idx="1">
                  <c:v>142.10459879751886</c:v>
                </c:pt>
                <c:pt idx="2">
                  <c:v>229.72158446845455</c:v>
                </c:pt>
                <c:pt idx="3">
                  <c:v>339.64393621049271</c:v>
                </c:pt>
                <c:pt idx="4">
                  <c:v>320.12274375557843</c:v>
                </c:pt>
                <c:pt idx="5">
                  <c:v>290.66319756991948</c:v>
                </c:pt>
                <c:pt idx="6">
                  <c:v>238.39210097609848</c:v>
                </c:pt>
              </c:numCache>
            </c:numRef>
          </c:val>
          <c:smooth val="0"/>
        </c:ser>
        <c:ser>
          <c:idx val="2"/>
          <c:order val="2"/>
          <c:tx>
            <c:v>Model 3</c:v>
          </c:tx>
          <c:spPr>
            <a:ln w="28575" cap="rnd">
              <a:solidFill>
                <a:schemeClr val="accent3"/>
              </a:solidFill>
              <a:round/>
            </a:ln>
            <a:effectLst/>
          </c:spPr>
          <c:marker>
            <c:symbol val="none"/>
          </c:marker>
          <c:val>
            <c:numRef>
              <c:f>'Cost year 1-7 what-if'!$M$203:$M$209</c:f>
              <c:numCache>
                <c:formatCode>_("$"* #,##0_);_("$"* \(#,##0\);_("$"* "-"??_);_(@_)</c:formatCode>
                <c:ptCount val="7"/>
                <c:pt idx="0">
                  <c:v>62.295245132125771</c:v>
                </c:pt>
                <c:pt idx="1">
                  <c:v>129.16552499865844</c:v>
                </c:pt>
                <c:pt idx="2">
                  <c:v>211.97902967794889</c:v>
                </c:pt>
                <c:pt idx="3">
                  <c:v>317.37002209032545</c:v>
                </c:pt>
                <c:pt idx="4">
                  <c:v>305.7056623123957</c:v>
                </c:pt>
                <c:pt idx="5">
                  <c:v>281.4485686058494</c:v>
                </c:pt>
                <c:pt idx="6">
                  <c:v>234.0090957288823</c:v>
                </c:pt>
              </c:numCache>
            </c:numRef>
          </c:val>
          <c:smooth val="0"/>
        </c:ser>
        <c:ser>
          <c:idx val="3"/>
          <c:order val="3"/>
          <c:tx>
            <c:v>Model 4</c:v>
          </c:tx>
          <c:spPr>
            <a:ln w="28575" cap="rnd">
              <a:solidFill>
                <a:schemeClr val="accent4"/>
              </a:solidFill>
              <a:round/>
            </a:ln>
            <a:effectLst/>
          </c:spPr>
          <c:marker>
            <c:symbol val="none"/>
          </c:marker>
          <c:val>
            <c:numRef>
              <c:f>'Cost year 1-7 what-if'!$N$203:$N$209</c:f>
              <c:numCache>
                <c:formatCode>_("$"* #,##0_);_("$"* \(#,##0\);_("$"* "-"??_);_(@_)</c:formatCode>
                <c:ptCount val="7"/>
                <c:pt idx="0">
                  <c:v>53.18003037515615</c:v>
                </c:pt>
                <c:pt idx="1">
                  <c:v>109.7450047815465</c:v>
                </c:pt>
                <c:pt idx="2">
                  <c:v>180.2615346117515</c:v>
                </c:pt>
                <c:pt idx="3">
                  <c:v>270.88362876647994</c:v>
                </c:pt>
                <c:pt idx="4">
                  <c:v>266.28111999720829</c:v>
                </c:pt>
                <c:pt idx="5">
                  <c:v>251.19136790976142</c:v>
                </c:pt>
                <c:pt idx="6">
                  <c:v>216.37391903958476</c:v>
                </c:pt>
              </c:numCache>
            </c:numRef>
          </c:val>
          <c:smooth val="0"/>
        </c:ser>
        <c:ser>
          <c:idx val="4"/>
          <c:order val="4"/>
          <c:tx>
            <c:v>Model 5</c:v>
          </c:tx>
          <c:spPr>
            <a:ln w="28575" cap="rnd">
              <a:solidFill>
                <a:schemeClr val="accent5"/>
              </a:solidFill>
              <a:round/>
            </a:ln>
            <a:effectLst/>
          </c:spPr>
          <c:marker>
            <c:symbol val="none"/>
          </c:marker>
          <c:val>
            <c:numRef>
              <c:f>'Cost year 1-7 what-if'!$O$203:$O$209</c:f>
              <c:numCache>
                <c:formatCode>_("$"* #,##0_);_("$"* \(#,##0\);_("$"* "-"??_);_(@_)</c:formatCode>
                <c:ptCount val="7"/>
                <c:pt idx="0">
                  <c:v>59.960976840198008</c:v>
                </c:pt>
                <c:pt idx="1">
                  <c:v>124.19719310030369</c:v>
                </c:pt>
                <c:pt idx="2">
                  <c:v>203.87455717136274</c:v>
                </c:pt>
                <c:pt idx="3">
                  <c:v>305.50421189577344</c:v>
                </c:pt>
                <c:pt idx="4">
                  <c:v>295.62129643621381</c:v>
                </c:pt>
                <c:pt idx="5">
                  <c:v>273.69367711551513</c:v>
                </c:pt>
                <c:pt idx="6">
                  <c:v>229.45326536088729</c:v>
                </c:pt>
              </c:numCache>
            </c:numRef>
          </c:val>
          <c:smooth val="0"/>
        </c:ser>
        <c:ser>
          <c:idx val="5"/>
          <c:order val="5"/>
          <c:tx>
            <c:v>Model 6</c:v>
          </c:tx>
          <c:spPr>
            <a:ln w="28575" cap="rnd">
              <a:solidFill>
                <a:schemeClr val="accent6"/>
              </a:solidFill>
              <a:round/>
            </a:ln>
            <a:effectLst/>
          </c:spPr>
          <c:marker>
            <c:symbol val="none"/>
          </c:marker>
          <c:val>
            <c:numRef>
              <c:f>'Cost year 1-7 what-if'!$P$203:$P$209</c:f>
              <c:numCache>
                <c:formatCode>_("$"* #,##0_);_("$"* \(#,##0\);_("$"* "-"??_);_(@_)</c:formatCode>
                <c:ptCount val="7"/>
                <c:pt idx="0">
                  <c:v>55.514298667083914</c:v>
                </c:pt>
                <c:pt idx="1">
                  <c:v>114.71333667990123</c:v>
                </c:pt>
                <c:pt idx="2">
                  <c:v>188.36600711833759</c:v>
                </c:pt>
                <c:pt idx="3">
                  <c:v>282.74943896103196</c:v>
                </c:pt>
                <c:pt idx="4">
                  <c:v>276.36548587339013</c:v>
                </c:pt>
                <c:pt idx="5">
                  <c:v>258.94625940009564</c:v>
                </c:pt>
                <c:pt idx="6">
                  <c:v>220.92974940757975</c:v>
                </c:pt>
              </c:numCache>
            </c:numRef>
          </c:val>
          <c:smooth val="0"/>
        </c:ser>
        <c:ser>
          <c:idx val="6"/>
          <c:order val="6"/>
          <c:tx>
            <c:v>Model 7</c:v>
          </c:tx>
          <c:marker>
            <c:symbol val="none"/>
          </c:marker>
          <c:val>
            <c:numRef>
              <c:f>'Cost year 1-7 what-if'!$Q$203:$Q$209</c:f>
              <c:numCache>
                <c:formatCode>_("$"* #,##0_);_("$"* \(#,##0\);_("$"* "-"??_);_(@_)</c:formatCode>
                <c:ptCount val="7"/>
                <c:pt idx="0">
                  <c:v>59.006486096580474</c:v>
                </c:pt>
                <c:pt idx="1">
                  <c:v>122.14900277072843</c:v>
                </c:pt>
                <c:pt idx="2">
                  <c:v>200.50074125890538</c:v>
                </c:pt>
                <c:pt idx="3">
                  <c:v>303.94059360009624</c:v>
                </c:pt>
                <c:pt idx="4">
                  <c:v>295.1871043413604</c:v>
                </c:pt>
                <c:pt idx="5">
                  <c:v>274.72491785946215</c:v>
                </c:pt>
                <c:pt idx="6">
                  <c:v>232.50689303971373</c:v>
                </c:pt>
              </c:numCache>
            </c:numRef>
          </c:val>
          <c:smooth val="0"/>
        </c:ser>
        <c:ser>
          <c:idx val="7"/>
          <c:order val="7"/>
          <c:tx>
            <c:v>Model 8</c:v>
          </c:tx>
          <c:marker>
            <c:symbol val="none"/>
          </c:marker>
          <c:val>
            <c:numRef>
              <c:f>'Cost year 1-7 what-if'!$R$203:$R$209</c:f>
              <c:numCache>
                <c:formatCode>_("$"* #,##0_);_("$"* \(#,##0\);_("$"* "-"??_);_(@_)</c:formatCode>
                <c:ptCount val="7"/>
                <c:pt idx="0">
                  <c:v>60.910134397019135</c:v>
                </c:pt>
                <c:pt idx="1">
                  <c:v>125.91827141194553</c:v>
                </c:pt>
                <c:pt idx="2">
                  <c:v>206.22011764822281</c:v>
                </c:pt>
                <c:pt idx="3">
                  <c:v>308.22007920438062</c:v>
                </c:pt>
                <c:pt idx="4">
                  <c:v>296.02600413144432</c:v>
                </c:pt>
                <c:pt idx="5">
                  <c:v>272.0375997788567</c:v>
                </c:pt>
                <c:pt idx="6">
                  <c:v>225.78099684642712</c:v>
                </c:pt>
              </c:numCache>
            </c:numRef>
          </c:val>
          <c:smooth val="0"/>
        </c:ser>
        <c:dLbls>
          <c:showLegendKey val="0"/>
          <c:showVal val="0"/>
          <c:showCatName val="0"/>
          <c:showSerName val="0"/>
          <c:showPercent val="0"/>
          <c:showBubbleSize val="0"/>
        </c:dLbls>
        <c:marker val="1"/>
        <c:smooth val="0"/>
        <c:axId val="58024960"/>
        <c:axId val="46526976"/>
      </c:lineChart>
      <c:catAx>
        <c:axId val="58024960"/>
        <c:scaling>
          <c:orientation val="minMax"/>
        </c:scaling>
        <c:delete val="0"/>
        <c:axPos val="b"/>
        <c:title>
          <c:tx>
            <c:rich>
              <a:bodyPr/>
              <a:lstStyle/>
              <a:p>
                <a:pPr>
                  <a:defRPr/>
                </a:pPr>
                <a:r>
                  <a:rPr lang="en-US"/>
                  <a:t>Year of Main</a:t>
                </a:r>
                <a:r>
                  <a:rPr lang="en-US" baseline="0"/>
                  <a:t> Study</a:t>
                </a:r>
                <a:endParaRPr lang="en-US"/>
              </a:p>
            </c:rich>
          </c:tx>
          <c:layout/>
          <c:overlay val="0"/>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526976"/>
        <c:crosses val="autoZero"/>
        <c:auto val="1"/>
        <c:lblAlgn val="ctr"/>
        <c:lblOffset val="100"/>
        <c:noMultiLvlLbl val="0"/>
      </c:catAx>
      <c:valAx>
        <c:axId val="46526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Cost in Millions</a:t>
                </a:r>
              </a:p>
            </c:rich>
          </c:tx>
          <c:layout>
            <c:manualLayout>
              <c:xMode val="edge"/>
              <c:yMode val="edge"/>
              <c:x val="4.0779824261097795E-2"/>
              <c:y val="0.33079234288867931"/>
            </c:manualLayout>
          </c:layout>
          <c:overlay val="0"/>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24960"/>
        <c:crosses val="autoZero"/>
        <c:crossBetween val="between"/>
      </c:valAx>
      <c:spPr>
        <a:noFill/>
        <a:ln>
          <a:noFill/>
        </a:ln>
        <a:effectLst/>
      </c:spPr>
    </c:plotArea>
    <c:legend>
      <c:legendPos val="b"/>
      <c:layout/>
      <c:overlay val="0"/>
      <c:spPr>
        <a:noFill/>
        <a:ln>
          <a:noFill/>
          <a:prstDash val="dash"/>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1</a:t>
            </a:r>
          </a:p>
          <a:p>
            <a:pPr>
              <a:defRPr sz="1400" b="0" i="0" u="none" strike="noStrike" kern="1200" spc="0" baseline="0">
                <a:solidFill>
                  <a:schemeClr val="tx1">
                    <a:lumMod val="65000"/>
                    <a:lumOff val="35000"/>
                  </a:schemeClr>
                </a:solidFill>
                <a:latin typeface="+mn-lt"/>
                <a:ea typeface="+mn-ea"/>
                <a:cs typeface="+mn-cs"/>
              </a:defRPr>
            </a:pPr>
            <a:r>
              <a:rPr lang="en-US"/>
              <a:t> Cost Scenarios</a:t>
            </a:r>
          </a:p>
        </c:rich>
      </c:tx>
      <c:layout>
        <c:manualLayout>
          <c:xMode val="edge"/>
          <c:yMode val="edge"/>
          <c:x val="0.44657849987061654"/>
          <c:y val="1.3039934800325998E-2"/>
        </c:manualLayout>
      </c:layout>
      <c:overlay val="0"/>
      <c:spPr>
        <a:noFill/>
        <a:ln>
          <a:noFill/>
        </a:ln>
        <a:effectLst/>
      </c:spPr>
    </c:title>
    <c:autoTitleDeleted val="0"/>
    <c:plotArea>
      <c:layout>
        <c:manualLayout>
          <c:layoutTarget val="inner"/>
          <c:xMode val="edge"/>
          <c:yMode val="edge"/>
          <c:x val="0.15524759405074429"/>
          <c:y val="0.19453272497417037"/>
          <c:w val="0.81419685039370349"/>
          <c:h val="0.60360343710092701"/>
        </c:manualLayout>
      </c:layout>
      <c:lineChart>
        <c:grouping val="standard"/>
        <c:varyColors val="0"/>
        <c:ser>
          <c:idx val="0"/>
          <c:order val="0"/>
          <c:tx>
            <c:v>Baseline</c:v>
          </c:tx>
          <c:spPr>
            <a:ln w="28575" cap="rnd">
              <a:solidFill>
                <a:schemeClr val="accent1"/>
              </a:solidFill>
              <a:prstDash val="sysDash"/>
              <a:round/>
            </a:ln>
            <a:effectLst/>
          </c:spPr>
          <c:marker>
            <c:symbol val="none"/>
          </c:marker>
          <c:val>
            <c:numRef>
              <c:f>'Cost year 1-7 what-if'!$K$203:$K$209</c:f>
              <c:numCache>
                <c:formatCode>_("$"* #,##0_);_("$"* \(#,##0\);_("$"* "-"??_);_(@_)</c:formatCode>
                <c:ptCount val="7"/>
                <c:pt idx="0">
                  <c:v>62.335010807801702</c:v>
                </c:pt>
                <c:pt idx="1">
                  <c:v>126.55507617827445</c:v>
                </c:pt>
                <c:pt idx="2">
                  <c:v>206.41105537811274</c:v>
                </c:pt>
                <c:pt idx="3">
                  <c:v>306.77180953874137</c:v>
                </c:pt>
                <c:pt idx="4">
                  <c:v>293.90111683990807</c:v>
                </c:pt>
                <c:pt idx="5">
                  <c:v>271.92168491650034</c:v>
                </c:pt>
                <c:pt idx="6">
                  <c:v>227.37004640066212</c:v>
                </c:pt>
              </c:numCache>
            </c:numRef>
          </c:val>
          <c:smooth val="0"/>
        </c:ser>
        <c:ser>
          <c:idx val="2"/>
          <c:order val="1"/>
          <c:tx>
            <c:v>Model 3</c:v>
          </c:tx>
          <c:spPr>
            <a:ln w="28575" cap="rnd">
              <a:solidFill>
                <a:schemeClr val="accent3"/>
              </a:solidFill>
              <a:round/>
            </a:ln>
            <a:effectLst/>
          </c:spPr>
          <c:marker>
            <c:symbol val="none"/>
          </c:marker>
          <c:val>
            <c:numRef>
              <c:f>'Cost year 1-7 what-if'!$M$203:$M$209</c:f>
              <c:numCache>
                <c:formatCode>_("$"* #,##0_);_("$"* \(#,##0\);_("$"* "-"??_);_(@_)</c:formatCode>
                <c:ptCount val="7"/>
                <c:pt idx="0">
                  <c:v>62.295245132125771</c:v>
                </c:pt>
                <c:pt idx="1">
                  <c:v>129.16552499865844</c:v>
                </c:pt>
                <c:pt idx="2">
                  <c:v>211.97902967794889</c:v>
                </c:pt>
                <c:pt idx="3">
                  <c:v>317.37002209032545</c:v>
                </c:pt>
                <c:pt idx="4">
                  <c:v>305.7056623123957</c:v>
                </c:pt>
                <c:pt idx="5">
                  <c:v>281.4485686058494</c:v>
                </c:pt>
                <c:pt idx="6">
                  <c:v>234.0090957288823</c:v>
                </c:pt>
              </c:numCache>
            </c:numRef>
          </c:val>
          <c:smooth val="0"/>
        </c:ser>
        <c:ser>
          <c:idx val="7"/>
          <c:order val="2"/>
          <c:tx>
            <c:v>Model 8</c:v>
          </c:tx>
          <c:marker>
            <c:symbol val="none"/>
          </c:marker>
          <c:val>
            <c:numRef>
              <c:f>'Cost year 1-7 what-if'!$R$203:$R$209</c:f>
              <c:numCache>
                <c:formatCode>_("$"* #,##0_);_("$"* \(#,##0\);_("$"* "-"??_);_(@_)</c:formatCode>
                <c:ptCount val="7"/>
                <c:pt idx="0">
                  <c:v>60.910134397019135</c:v>
                </c:pt>
                <c:pt idx="1">
                  <c:v>125.91827141194553</c:v>
                </c:pt>
                <c:pt idx="2">
                  <c:v>206.22011764822281</c:v>
                </c:pt>
                <c:pt idx="3">
                  <c:v>308.22007920438062</c:v>
                </c:pt>
                <c:pt idx="4">
                  <c:v>296.02600413144432</c:v>
                </c:pt>
                <c:pt idx="5">
                  <c:v>272.0375997788567</c:v>
                </c:pt>
                <c:pt idx="6">
                  <c:v>225.78099684642712</c:v>
                </c:pt>
              </c:numCache>
            </c:numRef>
          </c:val>
          <c:smooth val="0"/>
        </c:ser>
        <c:ser>
          <c:idx val="1"/>
          <c:order val="3"/>
          <c:tx>
            <c:v>Current Budget</c:v>
          </c:tx>
          <c:marker>
            <c:symbol val="none"/>
          </c:marker>
          <c:val>
            <c:numRef>
              <c:f>'Cost year 1-7 what-if'!$S$203:$S$209</c:f>
              <c:numCache>
                <c:formatCode>_("$"* #,##0_);_("$"* \(#,##0\);_("$"* "-"??_);_(@_)</c:formatCode>
                <c:ptCount val="7"/>
                <c:pt idx="0">
                  <c:v>165</c:v>
                </c:pt>
                <c:pt idx="1">
                  <c:v>165</c:v>
                </c:pt>
                <c:pt idx="2">
                  <c:v>165</c:v>
                </c:pt>
                <c:pt idx="3">
                  <c:v>165</c:v>
                </c:pt>
                <c:pt idx="4">
                  <c:v>165</c:v>
                </c:pt>
                <c:pt idx="5">
                  <c:v>165</c:v>
                </c:pt>
                <c:pt idx="6">
                  <c:v>165</c:v>
                </c:pt>
              </c:numCache>
            </c:numRef>
          </c:val>
          <c:smooth val="0"/>
        </c:ser>
        <c:dLbls>
          <c:showLegendKey val="0"/>
          <c:showVal val="0"/>
          <c:showCatName val="0"/>
          <c:showSerName val="0"/>
          <c:showPercent val="0"/>
          <c:showBubbleSize val="0"/>
        </c:dLbls>
        <c:marker val="1"/>
        <c:smooth val="0"/>
        <c:axId val="58025472"/>
        <c:axId val="46528128"/>
      </c:lineChart>
      <c:catAx>
        <c:axId val="58025472"/>
        <c:scaling>
          <c:orientation val="minMax"/>
        </c:scaling>
        <c:delete val="0"/>
        <c:axPos val="b"/>
        <c:title>
          <c:tx>
            <c:rich>
              <a:bodyPr/>
              <a:lstStyle/>
              <a:p>
                <a:pPr>
                  <a:defRPr/>
                </a:pPr>
                <a:r>
                  <a:rPr lang="en-US"/>
                  <a:t>Year of Main Study</a:t>
                </a:r>
              </a:p>
            </c:rich>
          </c:tx>
          <c:layout/>
          <c:overlay val="0"/>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528128"/>
        <c:crosses val="autoZero"/>
        <c:auto val="1"/>
        <c:lblAlgn val="ctr"/>
        <c:lblOffset val="100"/>
        <c:noMultiLvlLbl val="0"/>
      </c:catAx>
      <c:valAx>
        <c:axId val="46528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Cost in Millions</a:t>
                </a:r>
              </a:p>
            </c:rich>
          </c:tx>
          <c:layout/>
          <c:overlay val="0"/>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25472"/>
        <c:crosses val="autoZero"/>
        <c:crossBetween val="between"/>
      </c:valAx>
      <c:spPr>
        <a:noFill/>
        <a:ln>
          <a:noFill/>
        </a:ln>
        <a:effectLst/>
      </c:spPr>
    </c:plotArea>
    <c:legend>
      <c:legendPos val="b"/>
      <c:layout/>
      <c:overlay val="0"/>
      <c:spPr>
        <a:noFill/>
        <a:ln>
          <a:noFill/>
          <a:prstDash val="dash"/>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666750</xdr:colOff>
      <xdr:row>214</xdr:row>
      <xdr:rowOff>47625</xdr:rowOff>
    </xdr:from>
    <xdr:to>
      <xdr:col>14</xdr:col>
      <xdr:colOff>219075</xdr:colOff>
      <xdr:row>237</xdr:row>
      <xdr:rowOff>180975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211</xdr:row>
      <xdr:rowOff>0</xdr:rowOff>
    </xdr:from>
    <xdr:to>
      <xdr:col>5</xdr:col>
      <xdr:colOff>409575</xdr:colOff>
      <xdr:row>231</xdr:row>
      <xdr:rowOff>85725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schwartz\AppData\Local\Microsoft\Windows\Temporary%20Internet%20Files\Content.Outlook\XRH59WAR\NAC%20Cost%20Analysis-Rev.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lsen\AppData\Local\Temp\1\20131119\NCS%20Cost%20Analysis-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eral CPFF"/>
      <sheetName val="Assumptions"/>
      <sheetName val="Travel Schedule"/>
      <sheetName val="Budget Pricing"/>
      <sheetName val="Cost to Complete"/>
      <sheetName val="M0065"/>
      <sheetName val="M0112"/>
      <sheetName val="M0124"/>
      <sheetName val="M0147"/>
      <sheetName val="M0150"/>
      <sheetName val="Payment Schedule"/>
      <sheetName val="Client Format Year 1"/>
      <sheetName val="Client Format Year 2"/>
      <sheetName val="Client Format Year 3"/>
      <sheetName val="Client Format Year 4"/>
      <sheetName val="Client Format Year 5"/>
      <sheetName val="Client Format Total"/>
      <sheetName val="Budget By Dept"/>
      <sheetName val="BUTTONS"/>
      <sheetName val="M0065 Rates"/>
      <sheetName val="M0124 Rates"/>
      <sheetName val="M0147 Rates"/>
      <sheetName val="M0150 Rates"/>
      <sheetName val="Reference"/>
      <sheetName val="StaffingInputs"/>
      <sheetName val="Subcontracting Plan"/>
    </sheetNames>
    <sheetDataSet>
      <sheetData sheetId="0">
        <row r="66">
          <cell r="G66">
            <v>0.56999999999999995</v>
          </cell>
        </row>
        <row r="68">
          <cell r="G68">
            <v>0</v>
          </cell>
        </row>
      </sheetData>
      <sheetData sheetId="1">
        <row r="25">
          <cell r="C25">
            <v>2</v>
          </cell>
        </row>
        <row r="28">
          <cell r="G28">
            <v>2</v>
          </cell>
        </row>
        <row r="31">
          <cell r="C31">
            <v>1</v>
          </cell>
        </row>
        <row r="41">
          <cell r="G41">
            <v>1</v>
          </cell>
        </row>
        <row r="42">
          <cell r="C42">
            <v>1</v>
          </cell>
          <cell r="G42">
            <v>8</v>
          </cell>
        </row>
        <row r="48">
          <cell r="G48">
            <v>1</v>
          </cell>
        </row>
      </sheetData>
      <sheetData sheetId="2"/>
      <sheetData sheetId="3">
        <row r="51">
          <cell r="F51" t="str">
            <v>YES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eral CPFF"/>
      <sheetName val="Assumptions"/>
      <sheetName val="Travel Schedule"/>
      <sheetName val="Budget Pricing"/>
      <sheetName val="Cost to Complete"/>
      <sheetName val="M0065"/>
      <sheetName val="M0112"/>
      <sheetName val="M0124"/>
      <sheetName val="M0147"/>
      <sheetName val="M0150"/>
      <sheetName val="Payment Schedule"/>
      <sheetName val="Client Format Year 1"/>
      <sheetName val="Client Format Year 2"/>
      <sheetName val="Client Format Year 3"/>
      <sheetName val="Client Format Year 4"/>
      <sheetName val="Client Format Year 5"/>
      <sheetName val="Client Format Total"/>
      <sheetName val="Budget By Dept"/>
      <sheetName val="BUTTONS"/>
      <sheetName val="M0065 Rates"/>
      <sheetName val="M0124 Rates"/>
      <sheetName val="M0147 Rates"/>
      <sheetName val="M0150 Rates"/>
      <sheetName val="Reference"/>
      <sheetName val="StaffingInputs"/>
      <sheetName val="Subcontracting Plan"/>
    </sheetNames>
    <sheetDataSet>
      <sheetData sheetId="0" refreshError="1">
        <row r="46">
          <cell r="M46">
            <v>0</v>
          </cell>
        </row>
        <row r="54">
          <cell r="I54">
            <v>5.1105517578124926E-2</v>
          </cell>
          <cell r="M54">
            <v>5.1105517578124926E-2</v>
          </cell>
          <cell r="U54">
            <v>0</v>
          </cell>
        </row>
        <row r="60">
          <cell r="I60">
            <v>3.0396287578124761E-2</v>
          </cell>
          <cell r="M60">
            <v>3.0396287578124761E-2</v>
          </cell>
        </row>
        <row r="640">
          <cell r="F640" t="str">
            <v>Survey Ops. Phone,  &amp; Cell Phone (See Schedule)</v>
          </cell>
        </row>
        <row r="641">
          <cell r="F641" t="str">
            <v>Messenger &amp; Shipping (See Schedule)</v>
          </cell>
        </row>
        <row r="642">
          <cell r="F642" t="str">
            <v>Postage (See Schedule)</v>
          </cell>
        </row>
        <row r="643">
          <cell r="F643" t="str">
            <v>Travel (See Schedule)</v>
          </cell>
        </row>
        <row r="645">
          <cell r="F645" t="str">
            <v>Printing (See Schedule)</v>
          </cell>
        </row>
        <row r="646">
          <cell r="F646" t="str">
            <v>Field Survey Oper. Support (Dept. 51) @</v>
          </cell>
        </row>
        <row r="647">
          <cell r="F647" t="str">
            <v>Facilities (Depts. 39, 53) @</v>
          </cell>
        </row>
      </sheetData>
      <sheetData sheetId="1" refreshError="1">
        <row r="114">
          <cell r="C114">
            <v>3898047.4960000003</v>
          </cell>
        </row>
        <row r="120">
          <cell r="C120">
            <v>0</v>
          </cell>
          <cell r="G120">
            <v>0</v>
          </cell>
        </row>
        <row r="128">
          <cell r="C128">
            <v>0</v>
          </cell>
          <cell r="G128">
            <v>0</v>
          </cell>
          <cell r="O128">
            <v>0</v>
          </cell>
        </row>
        <row r="134">
          <cell r="C134">
            <v>0</v>
          </cell>
          <cell r="G1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hyperlink" Target="http://www.cdc.gov/nchs/fastats/births.htm%20%20(high)"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C17" sqref="C17"/>
    </sheetView>
  </sheetViews>
  <sheetFormatPr defaultRowHeight="15" x14ac:dyDescent="0.25"/>
  <cols>
    <col min="1" max="1" width="11.140625" customWidth="1"/>
  </cols>
  <sheetData>
    <row r="1" spans="1:2" x14ac:dyDescent="0.25">
      <c r="A1" s="166">
        <v>41629</v>
      </c>
      <c r="B1" t="s">
        <v>530</v>
      </c>
    </row>
    <row r="3" spans="1:2" x14ac:dyDescent="0.25">
      <c r="A3" s="166">
        <v>41639</v>
      </c>
      <c r="B3" t="s">
        <v>532</v>
      </c>
    </row>
    <row r="5" spans="1:2" x14ac:dyDescent="0.25">
      <c r="A5" s="166">
        <v>41639</v>
      </c>
      <c r="B5" t="s">
        <v>533</v>
      </c>
    </row>
    <row r="6" spans="1:2" x14ac:dyDescent="0.25">
      <c r="B6" t="s">
        <v>534</v>
      </c>
    </row>
    <row r="8" spans="1:2" x14ac:dyDescent="0.25">
      <c r="A8" s="166">
        <v>41648</v>
      </c>
      <c r="B8" t="s">
        <v>624</v>
      </c>
    </row>
    <row r="10" spans="1:2" x14ac:dyDescent="0.25">
      <c r="A10" s="166">
        <v>41648</v>
      </c>
      <c r="B10" t="s">
        <v>625</v>
      </c>
    </row>
    <row r="12" spans="1:2" x14ac:dyDescent="0.25">
      <c r="A12" s="166">
        <v>41648</v>
      </c>
      <c r="B12" t="s">
        <v>626</v>
      </c>
    </row>
    <row r="14" spans="1:2" x14ac:dyDescent="0.25">
      <c r="A14" s="166">
        <v>41648</v>
      </c>
      <c r="B14" t="s">
        <v>627</v>
      </c>
    </row>
    <row r="16" spans="1:2" x14ac:dyDescent="0.25">
      <c r="A16" s="166">
        <v>41648</v>
      </c>
      <c r="B16" t="s">
        <v>629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8"/>
  <sheetViews>
    <sheetView topLeftCell="A16" zoomScale="79" zoomScaleNormal="79" workbookViewId="0">
      <selection activeCell="F26" sqref="F26"/>
    </sheetView>
  </sheetViews>
  <sheetFormatPr defaultRowHeight="12.75" x14ac:dyDescent="0.2"/>
  <cols>
    <col min="1" max="2" width="9.28515625" style="148" bestFit="1" customWidth="1"/>
    <col min="3" max="3" width="35.140625" style="148" customWidth="1"/>
    <col min="4" max="5" width="21.7109375" style="148" customWidth="1"/>
    <col min="6" max="10" width="9.28515625" style="148" bestFit="1" customWidth="1"/>
    <col min="11" max="11" width="13.7109375" style="148" bestFit="1" customWidth="1"/>
    <col min="12" max="12" width="9.28515625" style="148" bestFit="1" customWidth="1"/>
    <col min="13" max="13" width="13.7109375" style="148" bestFit="1" customWidth="1"/>
    <col min="14" max="14" width="9.28515625" style="148" bestFit="1" customWidth="1"/>
    <col min="15" max="15" width="12" style="148" bestFit="1" customWidth="1"/>
    <col min="16" max="16" width="9.28515625" style="148" bestFit="1" customWidth="1"/>
    <col min="17" max="17" width="13.7109375" style="148" bestFit="1" customWidth="1"/>
    <col min="18" max="18" width="9.28515625" style="148" bestFit="1" customWidth="1"/>
    <col min="19" max="19" width="11.42578125" style="148" bestFit="1" customWidth="1"/>
    <col min="20" max="22" width="9.28515625" style="148" bestFit="1" customWidth="1"/>
    <col min="23" max="23" width="11.42578125" style="148" bestFit="1" customWidth="1"/>
    <col min="24" max="24" width="12.85546875" style="148" bestFit="1" customWidth="1"/>
    <col min="25" max="26" width="9.28515625" style="148" bestFit="1" customWidth="1"/>
    <col min="27" max="27" width="12.85546875" style="148" bestFit="1" customWidth="1"/>
    <col min="28" max="28" width="14" style="148" bestFit="1" customWidth="1"/>
    <col min="29" max="31" width="0" style="148" hidden="1" customWidth="1"/>
    <col min="32" max="16384" width="9.140625" style="148"/>
  </cols>
  <sheetData>
    <row r="1" spans="1:29" ht="15" x14ac:dyDescent="0.2">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row>
    <row r="2" spans="1:29" ht="15" x14ac:dyDescent="0.2">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row>
    <row r="3" spans="1:29" ht="15" x14ac:dyDescent="0.2">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row>
    <row r="4" spans="1:29" ht="15" x14ac:dyDescent="0.2">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row>
    <row r="5" spans="1:29" ht="15.75" x14ac:dyDescent="0.25">
      <c r="A5" s="198" t="s">
        <v>576</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row>
    <row r="6" spans="1:29" ht="15" x14ac:dyDescent="0.2">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row>
    <row r="7" spans="1:29" ht="15" x14ac:dyDescent="0.2">
      <c r="A7" s="199"/>
      <c r="B7" s="199"/>
      <c r="C7" s="200"/>
      <c r="D7" s="199"/>
      <c r="E7" s="199"/>
      <c r="F7" s="196"/>
      <c r="G7" s="199"/>
      <c r="H7" s="199"/>
      <c r="I7" s="199"/>
      <c r="J7" s="201"/>
      <c r="K7" s="196"/>
      <c r="L7" s="196"/>
      <c r="M7" s="196"/>
      <c r="N7" s="196"/>
      <c r="O7" s="196"/>
      <c r="P7" s="196"/>
      <c r="Q7" s="196"/>
      <c r="R7" s="196"/>
      <c r="S7" s="196"/>
      <c r="T7" s="196"/>
      <c r="U7" s="196"/>
      <c r="V7" s="196"/>
      <c r="W7" s="196"/>
      <c r="X7" s="196"/>
      <c r="Y7" s="196"/>
      <c r="Z7" s="196"/>
      <c r="AA7" s="196"/>
      <c r="AB7" s="196"/>
      <c r="AC7" s="196"/>
    </row>
    <row r="8" spans="1:29" x14ac:dyDescent="0.2">
      <c r="A8" s="202"/>
      <c r="B8" s="203"/>
      <c r="C8" s="204"/>
      <c r="D8" s="205" t="s">
        <v>405</v>
      </c>
      <c r="E8" s="205" t="s">
        <v>406</v>
      </c>
      <c r="F8" s="205" t="s">
        <v>407</v>
      </c>
      <c r="G8" s="206" t="s">
        <v>408</v>
      </c>
      <c r="H8" s="205" t="s">
        <v>409</v>
      </c>
      <c r="I8" s="205" t="s">
        <v>410</v>
      </c>
      <c r="J8" s="205" t="s">
        <v>411</v>
      </c>
      <c r="K8" s="205" t="s">
        <v>412</v>
      </c>
      <c r="L8" s="205" t="s">
        <v>413</v>
      </c>
      <c r="M8" s="205" t="s">
        <v>414</v>
      </c>
      <c r="N8" s="205" t="s">
        <v>415</v>
      </c>
      <c r="O8" s="205" t="s">
        <v>416</v>
      </c>
      <c r="P8" s="205" t="s">
        <v>417</v>
      </c>
      <c r="Q8" s="205" t="s">
        <v>418</v>
      </c>
      <c r="R8" s="205" t="s">
        <v>419</v>
      </c>
      <c r="S8" s="205" t="s">
        <v>420</v>
      </c>
      <c r="T8" s="205" t="s">
        <v>421</v>
      </c>
      <c r="U8" s="205" t="s">
        <v>422</v>
      </c>
      <c r="V8" s="205" t="s">
        <v>423</v>
      </c>
      <c r="W8" s="205" t="s">
        <v>424</v>
      </c>
      <c r="X8" s="205" t="s">
        <v>425</v>
      </c>
      <c r="Y8" s="205" t="s">
        <v>426</v>
      </c>
      <c r="Z8" s="205" t="s">
        <v>427</v>
      </c>
      <c r="AA8" s="205" t="s">
        <v>428</v>
      </c>
      <c r="AB8" s="205" t="s">
        <v>429</v>
      </c>
      <c r="AC8" s="207"/>
    </row>
    <row r="9" spans="1:29" x14ac:dyDescent="0.2">
      <c r="A9" s="208"/>
      <c r="B9" s="209"/>
      <c r="C9" s="210"/>
      <c r="D9" s="211"/>
      <c r="E9" s="211"/>
      <c r="F9" s="212"/>
      <c r="G9" s="211"/>
      <c r="H9" s="211"/>
      <c r="I9" s="211"/>
      <c r="J9" s="212" t="s">
        <v>430</v>
      </c>
      <c r="K9" s="211"/>
      <c r="L9" s="213" t="s">
        <v>431</v>
      </c>
      <c r="M9" s="213"/>
      <c r="N9" s="213" t="s">
        <v>432</v>
      </c>
      <c r="O9" s="213"/>
      <c r="P9" s="213" t="s">
        <v>263</v>
      </c>
      <c r="Q9" s="213"/>
      <c r="R9" s="213" t="s">
        <v>433</v>
      </c>
      <c r="S9" s="213"/>
      <c r="T9" s="213" t="s">
        <v>434</v>
      </c>
      <c r="U9" s="213"/>
      <c r="V9" s="212" t="s">
        <v>435</v>
      </c>
      <c r="W9" s="214"/>
      <c r="X9" s="212" t="s">
        <v>436</v>
      </c>
      <c r="Y9" s="212"/>
      <c r="Z9" s="215"/>
      <c r="AA9" s="215"/>
      <c r="AB9" s="212"/>
      <c r="AC9" s="216"/>
    </row>
    <row r="10" spans="1:29" x14ac:dyDescent="0.2">
      <c r="A10" s="217"/>
      <c r="B10" s="209"/>
      <c r="C10" s="210"/>
      <c r="D10" s="213"/>
      <c r="E10" s="213"/>
      <c r="F10" s="213" t="s">
        <v>437</v>
      </c>
      <c r="G10" s="213" t="s">
        <v>437</v>
      </c>
      <c r="H10" s="213" t="s">
        <v>437</v>
      </c>
      <c r="I10" s="213" t="s">
        <v>437</v>
      </c>
      <c r="J10" s="212" t="s">
        <v>438</v>
      </c>
      <c r="K10" s="213"/>
      <c r="L10" s="213" t="s">
        <v>439</v>
      </c>
      <c r="M10" s="213" t="s">
        <v>263</v>
      </c>
      <c r="N10" s="213" t="s">
        <v>440</v>
      </c>
      <c r="O10" s="213" t="s">
        <v>263</v>
      </c>
      <c r="P10" s="213" t="s">
        <v>441</v>
      </c>
      <c r="Q10" s="213" t="s">
        <v>263</v>
      </c>
      <c r="R10" s="213" t="s">
        <v>442</v>
      </c>
      <c r="S10" s="213" t="s">
        <v>263</v>
      </c>
      <c r="T10" s="213" t="s">
        <v>439</v>
      </c>
      <c r="U10" s="213" t="s">
        <v>263</v>
      </c>
      <c r="V10" s="213" t="s">
        <v>443</v>
      </c>
      <c r="W10" s="218"/>
      <c r="X10" s="213" t="s">
        <v>444</v>
      </c>
      <c r="Y10" s="213"/>
      <c r="Z10" s="212"/>
      <c r="AA10" s="212"/>
      <c r="AB10" s="212" t="s">
        <v>263</v>
      </c>
      <c r="AC10" s="219"/>
    </row>
    <row r="11" spans="1:29" ht="15" x14ac:dyDescent="0.2">
      <c r="A11" s="213" t="s">
        <v>445</v>
      </c>
      <c r="B11" s="350" t="s">
        <v>446</v>
      </c>
      <c r="C11" s="351"/>
      <c r="D11" s="213" t="s">
        <v>447</v>
      </c>
      <c r="E11" s="213" t="s">
        <v>448</v>
      </c>
      <c r="F11" s="213" t="s">
        <v>449</v>
      </c>
      <c r="G11" s="213" t="s">
        <v>449</v>
      </c>
      <c r="H11" s="213" t="s">
        <v>449</v>
      </c>
      <c r="I11" s="213" t="s">
        <v>449</v>
      </c>
      <c r="J11" s="212" t="s">
        <v>450</v>
      </c>
      <c r="K11" s="213" t="s">
        <v>263</v>
      </c>
      <c r="L11" s="213" t="s">
        <v>444</v>
      </c>
      <c r="M11" s="213" t="s">
        <v>431</v>
      </c>
      <c r="N11" s="213" t="s">
        <v>443</v>
      </c>
      <c r="O11" s="213" t="s">
        <v>432</v>
      </c>
      <c r="P11" s="213" t="s">
        <v>451</v>
      </c>
      <c r="Q11" s="213" t="s">
        <v>577</v>
      </c>
      <c r="R11" s="213" t="s">
        <v>444</v>
      </c>
      <c r="S11" s="213" t="s">
        <v>433</v>
      </c>
      <c r="T11" s="213" t="s">
        <v>452</v>
      </c>
      <c r="U11" s="213" t="s">
        <v>434</v>
      </c>
      <c r="V11" s="213" t="s">
        <v>453</v>
      </c>
      <c r="W11" s="218" t="s">
        <v>263</v>
      </c>
      <c r="X11" s="213" t="s">
        <v>454</v>
      </c>
      <c r="Y11" s="213" t="s">
        <v>470</v>
      </c>
      <c r="Z11" s="212" t="s">
        <v>436</v>
      </c>
      <c r="AA11" s="212" t="s">
        <v>263</v>
      </c>
      <c r="AB11" s="287" t="s">
        <v>456</v>
      </c>
      <c r="AC11" s="219"/>
    </row>
    <row r="12" spans="1:29" ht="15" x14ac:dyDescent="0.2">
      <c r="A12" s="213"/>
      <c r="B12" s="221"/>
      <c r="C12" s="220"/>
      <c r="D12" s="213"/>
      <c r="E12" s="213"/>
      <c r="F12" s="213" t="s">
        <v>457</v>
      </c>
      <c r="G12" s="213" t="s">
        <v>578</v>
      </c>
      <c r="H12" s="213" t="s">
        <v>459</v>
      </c>
      <c r="I12" s="213" t="s">
        <v>460</v>
      </c>
      <c r="J12" s="212" t="s">
        <v>461</v>
      </c>
      <c r="K12" s="213" t="s">
        <v>462</v>
      </c>
      <c r="L12" s="213" t="s">
        <v>454</v>
      </c>
      <c r="M12" s="213" t="s">
        <v>439</v>
      </c>
      <c r="N12" s="213" t="s">
        <v>463</v>
      </c>
      <c r="O12" s="213" t="s">
        <v>464</v>
      </c>
      <c r="P12" s="213" t="s">
        <v>465</v>
      </c>
      <c r="Q12" s="295">
        <v>0.56499999999999995</v>
      </c>
      <c r="R12" s="213" t="s">
        <v>466</v>
      </c>
      <c r="S12" s="213" t="s">
        <v>467</v>
      </c>
      <c r="T12" s="213" t="s">
        <v>466</v>
      </c>
      <c r="U12" s="213" t="s">
        <v>439</v>
      </c>
      <c r="V12" s="213" t="s">
        <v>463</v>
      </c>
      <c r="W12" s="218" t="s">
        <v>468</v>
      </c>
      <c r="X12" s="213" t="s">
        <v>469</v>
      </c>
      <c r="Y12" s="213" t="s">
        <v>579</v>
      </c>
      <c r="Z12" s="212" t="s">
        <v>471</v>
      </c>
      <c r="AA12" s="212" t="s">
        <v>436</v>
      </c>
      <c r="AB12" s="287" t="s">
        <v>580</v>
      </c>
      <c r="AC12" s="219"/>
    </row>
    <row r="13" spans="1:29" x14ac:dyDescent="0.2">
      <c r="A13" s="222"/>
      <c r="B13" s="352"/>
      <c r="C13" s="353"/>
      <c r="D13" s="223"/>
      <c r="E13" s="223"/>
      <c r="F13" s="223"/>
      <c r="G13" s="223"/>
      <c r="H13" s="223"/>
      <c r="I13" s="223"/>
      <c r="J13" s="223"/>
      <c r="K13" s="288" t="s">
        <v>472</v>
      </c>
      <c r="L13" s="288"/>
      <c r="M13" s="288" t="s">
        <v>473</v>
      </c>
      <c r="N13" s="288"/>
      <c r="O13" s="288" t="s">
        <v>474</v>
      </c>
      <c r="P13" s="289"/>
      <c r="Q13" s="288" t="s">
        <v>581</v>
      </c>
      <c r="R13" s="288"/>
      <c r="S13" s="288" t="s">
        <v>582</v>
      </c>
      <c r="T13" s="288"/>
      <c r="U13" s="288" t="s">
        <v>583</v>
      </c>
      <c r="V13" s="288"/>
      <c r="W13" s="288" t="s">
        <v>584</v>
      </c>
      <c r="X13" s="288"/>
      <c r="Y13" s="288"/>
      <c r="Z13" s="288" t="s">
        <v>585</v>
      </c>
      <c r="AA13" s="288" t="s">
        <v>586</v>
      </c>
      <c r="AB13" s="287" t="s">
        <v>587</v>
      </c>
      <c r="AC13" s="219"/>
    </row>
    <row r="14" spans="1:29" ht="15.75" x14ac:dyDescent="0.25">
      <c r="A14" s="224"/>
      <c r="B14" s="224"/>
      <c r="C14" s="224"/>
      <c r="D14" s="224"/>
      <c r="E14" s="224"/>
      <c r="F14" s="225"/>
      <c r="G14" s="224"/>
      <c r="H14" s="224"/>
      <c r="I14" s="224"/>
      <c r="J14" s="226"/>
      <c r="K14" s="227"/>
      <c r="L14" s="227"/>
      <c r="M14" s="227"/>
      <c r="N14" s="227"/>
      <c r="O14" s="227"/>
      <c r="P14" s="227"/>
      <c r="Q14" s="227"/>
      <c r="R14" s="227"/>
      <c r="S14" s="227"/>
      <c r="T14" s="227"/>
      <c r="U14" s="227"/>
      <c r="V14" s="228"/>
      <c r="W14" s="229"/>
      <c r="X14" s="228"/>
      <c r="Y14" s="230"/>
      <c r="Z14" s="231"/>
      <c r="AA14" s="231"/>
      <c r="AB14" s="231"/>
      <c r="AC14" s="232"/>
    </row>
    <row r="15" spans="1:29" ht="15" x14ac:dyDescent="0.2">
      <c r="A15" s="233" t="s">
        <v>588</v>
      </c>
      <c r="B15" s="234" t="s">
        <v>589</v>
      </c>
      <c r="C15" s="235" t="s">
        <v>481</v>
      </c>
      <c r="D15" s="236" t="s">
        <v>622</v>
      </c>
      <c r="E15" s="236" t="s">
        <v>623</v>
      </c>
      <c r="F15" s="237">
        <f>ROUND('NCS Recruitment 250 hosp 5 prov'!C15*'NCS Recruitment 250 hosp 5 prov'!C17*3,0)</f>
        <v>225</v>
      </c>
      <c r="G15" s="208">
        <v>1</v>
      </c>
      <c r="H15" s="208">
        <v>2</v>
      </c>
      <c r="I15" s="208">
        <v>2</v>
      </c>
      <c r="J15" s="238">
        <f>832*0.55+38+50</f>
        <v>545.6</v>
      </c>
      <c r="K15" s="269">
        <f t="shared" ref="K15:K16" si="0">IF(ISERROR(SUM(F15*G15*J15)),0,SUM(F15*G15*J15))</f>
        <v>122760</v>
      </c>
      <c r="L15" s="238">
        <v>220</v>
      </c>
      <c r="M15" s="269">
        <f t="shared" ref="M15:M40" si="1">L15*F15*G15</f>
        <v>49500</v>
      </c>
      <c r="N15" s="238">
        <v>78</v>
      </c>
      <c r="O15" s="269">
        <f t="shared" ref="O15:O40" si="2">F15*H15*N15</f>
        <v>35100</v>
      </c>
      <c r="P15" s="254">
        <v>0</v>
      </c>
      <c r="Q15" s="269">
        <f t="shared" ref="Q15:Q40" si="3">F15*P15*$Q$12</f>
        <v>0</v>
      </c>
      <c r="R15" s="238">
        <v>15</v>
      </c>
      <c r="S15" s="269">
        <f t="shared" ref="S15:S40" si="4">IF(R15=0,0,F15*H15*R15)</f>
        <v>6750</v>
      </c>
      <c r="T15" s="238">
        <v>0</v>
      </c>
      <c r="U15" s="269">
        <f t="shared" ref="U15:U40" si="5">IF(T15=0,0,F15*H15*T15)</f>
        <v>0</v>
      </c>
      <c r="V15" s="238">
        <v>66</v>
      </c>
      <c r="W15" s="269">
        <f t="shared" ref="W15:W40" si="6">IF(V15=0,0,F15*G15*H15*V15)</f>
        <v>29700</v>
      </c>
      <c r="X15" s="238">
        <v>104</v>
      </c>
      <c r="Y15" s="257">
        <v>0.1774</v>
      </c>
      <c r="Z15" s="269">
        <f t="shared" ref="Z15:Z40" si="7">X15*(1+Y15)</f>
        <v>122.4496</v>
      </c>
      <c r="AA15" s="269">
        <f t="shared" ref="AA15:AA40" si="8">IF(Z15=0,0,F15*G15*I15*Z15)</f>
        <v>55102.32</v>
      </c>
      <c r="AB15" s="272">
        <f t="shared" ref="AB15:AB40" si="9">SUM(K15,M15,O15,Q15,S15,U15,W15,AA15)</f>
        <v>298912.32</v>
      </c>
      <c r="AC15" s="197"/>
    </row>
    <row r="16" spans="1:29" ht="15" x14ac:dyDescent="0.2">
      <c r="A16" s="233" t="s">
        <v>588</v>
      </c>
      <c r="B16" s="234" t="s">
        <v>590</v>
      </c>
      <c r="C16" s="235" t="s">
        <v>483</v>
      </c>
      <c r="D16" s="236" t="s">
        <v>622</v>
      </c>
      <c r="E16" s="236" t="s">
        <v>623</v>
      </c>
      <c r="F16" s="237">
        <f>'NCS Recruitment 250 hosp 5 prov'!C29*'NCS Recruitment 250 hosp 5 prov'!C26</f>
        <v>0</v>
      </c>
      <c r="G16" s="208">
        <f>[1]Assumptions!C25</f>
        <v>2</v>
      </c>
      <c r="H16" s="208">
        <v>3</v>
      </c>
      <c r="I16" s="208">
        <v>2</v>
      </c>
      <c r="J16" s="238">
        <f t="shared" ref="J16:J28" si="10">832*0.55+38+50</f>
        <v>545.6</v>
      </c>
      <c r="K16" s="269">
        <f t="shared" si="0"/>
        <v>0</v>
      </c>
      <c r="L16" s="238">
        <v>220</v>
      </c>
      <c r="M16" s="269">
        <f t="shared" si="1"/>
        <v>0</v>
      </c>
      <c r="N16" s="238">
        <v>78</v>
      </c>
      <c r="O16" s="269">
        <f t="shared" si="2"/>
        <v>0</v>
      </c>
      <c r="P16" s="254">
        <v>0</v>
      </c>
      <c r="Q16" s="269">
        <f t="shared" si="3"/>
        <v>0</v>
      </c>
      <c r="R16" s="238">
        <v>15</v>
      </c>
      <c r="S16" s="269">
        <f t="shared" si="4"/>
        <v>0</v>
      </c>
      <c r="T16" s="238">
        <v>0</v>
      </c>
      <c r="U16" s="269">
        <f t="shared" si="5"/>
        <v>0</v>
      </c>
      <c r="V16" s="238">
        <v>66</v>
      </c>
      <c r="W16" s="269">
        <f t="shared" si="6"/>
        <v>0</v>
      </c>
      <c r="X16" s="238">
        <v>104</v>
      </c>
      <c r="Y16" s="257">
        <v>0.1774</v>
      </c>
      <c r="Z16" s="269">
        <f t="shared" si="7"/>
        <v>122.4496</v>
      </c>
      <c r="AA16" s="269">
        <f t="shared" si="8"/>
        <v>0</v>
      </c>
      <c r="AB16" s="272">
        <f t="shared" si="9"/>
        <v>0</v>
      </c>
      <c r="AC16" s="197"/>
    </row>
    <row r="17" spans="1:31" ht="15" x14ac:dyDescent="0.2">
      <c r="A17" s="233" t="s">
        <v>588</v>
      </c>
      <c r="B17" s="234" t="s">
        <v>591</v>
      </c>
      <c r="C17" s="235" t="s">
        <v>484</v>
      </c>
      <c r="D17" s="236" t="s">
        <v>622</v>
      </c>
      <c r="E17" s="236" t="s">
        <v>623</v>
      </c>
      <c r="F17" s="237">
        <f>'NCS Recruitment 250 hosp 5 prov'!C35</f>
        <v>3</v>
      </c>
      <c r="G17" s="208">
        <f>[1]Assumptions!C31</f>
        <v>1</v>
      </c>
      <c r="H17" s="208">
        <v>3</v>
      </c>
      <c r="I17" s="208">
        <v>2</v>
      </c>
      <c r="J17" s="238">
        <f t="shared" si="10"/>
        <v>545.6</v>
      </c>
      <c r="K17" s="269">
        <f t="shared" ref="K17" si="11">IF(ISERROR(SUM(F17*G17*J17)),0,SUM(F17*G17*J17))</f>
        <v>1636.8000000000002</v>
      </c>
      <c r="L17" s="238">
        <v>220</v>
      </c>
      <c r="M17" s="269">
        <f t="shared" si="1"/>
        <v>660</v>
      </c>
      <c r="N17" s="238">
        <v>78</v>
      </c>
      <c r="O17" s="269">
        <f t="shared" si="2"/>
        <v>702</v>
      </c>
      <c r="P17" s="254">
        <v>0</v>
      </c>
      <c r="Q17" s="269">
        <f t="shared" si="3"/>
        <v>0</v>
      </c>
      <c r="R17" s="238">
        <v>15</v>
      </c>
      <c r="S17" s="269">
        <f t="shared" si="4"/>
        <v>135</v>
      </c>
      <c r="T17" s="238">
        <v>0</v>
      </c>
      <c r="U17" s="269">
        <f t="shared" si="5"/>
        <v>0</v>
      </c>
      <c r="V17" s="238">
        <v>66</v>
      </c>
      <c r="W17" s="269">
        <f t="shared" si="6"/>
        <v>594</v>
      </c>
      <c r="X17" s="238">
        <v>104</v>
      </c>
      <c r="Y17" s="257">
        <v>0.1774</v>
      </c>
      <c r="Z17" s="269">
        <f t="shared" si="7"/>
        <v>122.4496</v>
      </c>
      <c r="AA17" s="269">
        <f t="shared" si="8"/>
        <v>734.69759999999997</v>
      </c>
      <c r="AB17" s="272">
        <f t="shared" si="9"/>
        <v>4462.4976000000006</v>
      </c>
      <c r="AC17" s="197"/>
    </row>
    <row r="18" spans="1:31" ht="15" customHeight="1" x14ac:dyDescent="0.2">
      <c r="A18" s="233" t="s">
        <v>588</v>
      </c>
      <c r="B18" s="234" t="s">
        <v>592</v>
      </c>
      <c r="C18" s="235" t="s">
        <v>485</v>
      </c>
      <c r="D18" s="236" t="s">
        <v>622</v>
      </c>
      <c r="E18" s="236" t="s">
        <v>623</v>
      </c>
      <c r="F18" s="296">
        <f>'NCS Recruitment 250 hosp 5 prov'!C43*'NCS Recruitment 250 hosp 5 prov'!C46*'NCS Recruitment 250 hosp 5 prov'!C47</f>
        <v>1000</v>
      </c>
      <c r="G18" s="208">
        <f>[1]Assumptions!C42</f>
        <v>1</v>
      </c>
      <c r="H18" s="208">
        <v>1</v>
      </c>
      <c r="I18" s="208">
        <v>1</v>
      </c>
      <c r="J18" s="238">
        <f t="shared" si="10"/>
        <v>545.6</v>
      </c>
      <c r="K18" s="269">
        <f t="shared" ref="K18:K40" si="12">IF(ISERROR(SUM(F18*G18*J18)),0,SUM(F18*G18*J18))</f>
        <v>545600</v>
      </c>
      <c r="L18" s="238">
        <v>220</v>
      </c>
      <c r="M18" s="269">
        <f t="shared" si="1"/>
        <v>220000</v>
      </c>
      <c r="N18" s="238">
        <v>78</v>
      </c>
      <c r="O18" s="269">
        <f t="shared" si="2"/>
        <v>78000</v>
      </c>
      <c r="P18" s="254">
        <v>0</v>
      </c>
      <c r="Q18" s="269">
        <f t="shared" si="3"/>
        <v>0</v>
      </c>
      <c r="R18" s="238">
        <v>15</v>
      </c>
      <c r="S18" s="269">
        <f t="shared" si="4"/>
        <v>15000</v>
      </c>
      <c r="T18" s="238">
        <v>0</v>
      </c>
      <c r="U18" s="269">
        <f t="shared" si="5"/>
        <v>0</v>
      </c>
      <c r="V18" s="238">
        <v>66</v>
      </c>
      <c r="W18" s="269">
        <f t="shared" si="6"/>
        <v>66000</v>
      </c>
      <c r="X18" s="238">
        <v>104</v>
      </c>
      <c r="Y18" s="257">
        <v>0.1774</v>
      </c>
      <c r="Z18" s="269">
        <f t="shared" si="7"/>
        <v>122.4496</v>
      </c>
      <c r="AA18" s="269">
        <f t="shared" si="8"/>
        <v>122449.60000000001</v>
      </c>
      <c r="AB18" s="272">
        <f t="shared" si="9"/>
        <v>1047049.6</v>
      </c>
      <c r="AC18" s="197"/>
    </row>
    <row r="19" spans="1:31" ht="15" customHeight="1" x14ac:dyDescent="0.2">
      <c r="A19" s="233" t="s">
        <v>593</v>
      </c>
      <c r="B19" s="234" t="s">
        <v>594</v>
      </c>
      <c r="C19" s="235" t="s">
        <v>486</v>
      </c>
      <c r="D19" s="236" t="s">
        <v>622</v>
      </c>
      <c r="E19" s="236" t="s">
        <v>623</v>
      </c>
      <c r="F19" s="296">
        <f>ROUND('NCS Recruitment 250 hosp 5 prov'!G20*'NCS Recruitment 250 hosp 5 prov'!G18,0)</f>
        <v>488</v>
      </c>
      <c r="G19" s="208">
        <v>1</v>
      </c>
      <c r="H19" s="208">
        <v>2</v>
      </c>
      <c r="I19" s="208">
        <v>2</v>
      </c>
      <c r="J19" s="238">
        <f>832*0.55+38+50</f>
        <v>545.6</v>
      </c>
      <c r="K19" s="269">
        <f t="shared" si="12"/>
        <v>266252.79999999999</v>
      </c>
      <c r="L19" s="238">
        <v>220</v>
      </c>
      <c r="M19" s="269">
        <f t="shared" si="1"/>
        <v>107360</v>
      </c>
      <c r="N19" s="238">
        <v>78</v>
      </c>
      <c r="O19" s="269">
        <f t="shared" si="2"/>
        <v>76128</v>
      </c>
      <c r="P19" s="254">
        <v>0</v>
      </c>
      <c r="Q19" s="269">
        <f t="shared" si="3"/>
        <v>0</v>
      </c>
      <c r="R19" s="238">
        <v>15</v>
      </c>
      <c r="S19" s="269">
        <f t="shared" si="4"/>
        <v>14640</v>
      </c>
      <c r="T19" s="238">
        <v>0</v>
      </c>
      <c r="U19" s="269">
        <f t="shared" si="5"/>
        <v>0</v>
      </c>
      <c r="V19" s="238">
        <v>66</v>
      </c>
      <c r="W19" s="269">
        <f t="shared" si="6"/>
        <v>64416</v>
      </c>
      <c r="X19" s="238">
        <v>104</v>
      </c>
      <c r="Y19" s="257">
        <v>0.1774</v>
      </c>
      <c r="Z19" s="269">
        <f t="shared" si="7"/>
        <v>122.4496</v>
      </c>
      <c r="AA19" s="269">
        <f t="shared" si="8"/>
        <v>119510.80960000001</v>
      </c>
      <c r="AB19" s="272">
        <f t="shared" si="9"/>
        <v>648307.60960000008</v>
      </c>
      <c r="AC19" s="197"/>
    </row>
    <row r="20" spans="1:31" ht="15" customHeight="1" x14ac:dyDescent="0.2">
      <c r="A20" s="233" t="s">
        <v>593</v>
      </c>
      <c r="B20" s="234" t="s">
        <v>595</v>
      </c>
      <c r="C20" s="235" t="s">
        <v>487</v>
      </c>
      <c r="D20" s="236" t="s">
        <v>622</v>
      </c>
      <c r="E20" s="236" t="s">
        <v>623</v>
      </c>
      <c r="F20" s="237">
        <f>ROUND('NCS Recruitment 250 hosp 5 prov'!G33*'NCS Recruitment 250 hosp 5 prov'!G34*'NCS Recruitment 250 hosp 5 prov'!G30,0)</f>
        <v>0</v>
      </c>
      <c r="G20" s="208">
        <f>[1]Assumptions!G28</f>
        <v>2</v>
      </c>
      <c r="H20" s="208">
        <v>3</v>
      </c>
      <c r="I20" s="208">
        <v>2</v>
      </c>
      <c r="J20" s="238">
        <f t="shared" si="10"/>
        <v>545.6</v>
      </c>
      <c r="K20" s="269">
        <f t="shared" si="12"/>
        <v>0</v>
      </c>
      <c r="L20" s="238">
        <v>220</v>
      </c>
      <c r="M20" s="269">
        <f t="shared" si="1"/>
        <v>0</v>
      </c>
      <c r="N20" s="238">
        <v>78</v>
      </c>
      <c r="O20" s="269">
        <f t="shared" si="2"/>
        <v>0</v>
      </c>
      <c r="P20" s="254">
        <v>0</v>
      </c>
      <c r="Q20" s="269">
        <f t="shared" si="3"/>
        <v>0</v>
      </c>
      <c r="R20" s="238">
        <v>15</v>
      </c>
      <c r="S20" s="269">
        <f t="shared" si="4"/>
        <v>0</v>
      </c>
      <c r="T20" s="238">
        <v>0</v>
      </c>
      <c r="U20" s="269">
        <f t="shared" si="5"/>
        <v>0</v>
      </c>
      <c r="V20" s="238">
        <v>66</v>
      </c>
      <c r="W20" s="269">
        <f t="shared" si="6"/>
        <v>0</v>
      </c>
      <c r="X20" s="238">
        <v>104</v>
      </c>
      <c r="Y20" s="257">
        <v>0.1774</v>
      </c>
      <c r="Z20" s="269">
        <f t="shared" si="7"/>
        <v>122.4496</v>
      </c>
      <c r="AA20" s="269">
        <f t="shared" si="8"/>
        <v>0</v>
      </c>
      <c r="AB20" s="272">
        <f t="shared" si="9"/>
        <v>0</v>
      </c>
      <c r="AC20" s="197"/>
    </row>
    <row r="21" spans="1:31" ht="15" customHeight="1" x14ac:dyDescent="0.2">
      <c r="A21" s="233" t="s">
        <v>593</v>
      </c>
      <c r="B21" s="234" t="s">
        <v>596</v>
      </c>
      <c r="C21" s="235" t="s">
        <v>488</v>
      </c>
      <c r="D21" s="236" t="s">
        <v>622</v>
      </c>
      <c r="E21" s="236" t="s">
        <v>623</v>
      </c>
      <c r="F21" s="296">
        <f>ROUND('NCS Recruitment 250 hosp 5 prov'!G45*'NCS Recruitment 250 hosp 5 prov'!G46,0)</f>
        <v>30</v>
      </c>
      <c r="G21" s="208">
        <f>([1]Assumptions!G41+[1]Assumptions!G48)</f>
        <v>2</v>
      </c>
      <c r="H21" s="208">
        <f>[1]Assumptions!G42/8</f>
        <v>1</v>
      </c>
      <c r="I21" s="208">
        <v>1</v>
      </c>
      <c r="J21" s="238">
        <f t="shared" si="10"/>
        <v>545.6</v>
      </c>
      <c r="K21" s="269">
        <f t="shared" ref="K21" si="13">IF(ISERROR(SUM(F21*G21*J21)),0,SUM(F21*G21*J21))</f>
        <v>32736</v>
      </c>
      <c r="L21" s="238">
        <v>220</v>
      </c>
      <c r="M21" s="269">
        <f t="shared" si="1"/>
        <v>13200</v>
      </c>
      <c r="N21" s="238">
        <v>78</v>
      </c>
      <c r="O21" s="269">
        <f t="shared" si="2"/>
        <v>2340</v>
      </c>
      <c r="P21" s="254">
        <v>0</v>
      </c>
      <c r="Q21" s="269">
        <f t="shared" si="3"/>
        <v>0</v>
      </c>
      <c r="R21" s="238">
        <v>15</v>
      </c>
      <c r="S21" s="269">
        <f t="shared" si="4"/>
        <v>450</v>
      </c>
      <c r="T21" s="238">
        <v>0</v>
      </c>
      <c r="U21" s="269">
        <f t="shared" si="5"/>
        <v>0</v>
      </c>
      <c r="V21" s="238">
        <v>66</v>
      </c>
      <c r="W21" s="269">
        <f t="shared" si="6"/>
        <v>3960</v>
      </c>
      <c r="X21" s="238">
        <v>104</v>
      </c>
      <c r="Y21" s="257">
        <v>0.1774</v>
      </c>
      <c r="Z21" s="269">
        <f t="shared" si="7"/>
        <v>122.4496</v>
      </c>
      <c r="AA21" s="269">
        <f t="shared" si="8"/>
        <v>7346.9760000000006</v>
      </c>
      <c r="AB21" s="272">
        <f t="shared" si="9"/>
        <v>60032.976000000002</v>
      </c>
      <c r="AC21" s="197"/>
    </row>
    <row r="22" spans="1:31" ht="15" customHeight="1" x14ac:dyDescent="0.2">
      <c r="A22" s="233" t="s">
        <v>593</v>
      </c>
      <c r="B22" s="234" t="s">
        <v>597</v>
      </c>
      <c r="C22" s="235" t="s">
        <v>489</v>
      </c>
      <c r="D22" s="236" t="s">
        <v>622</v>
      </c>
      <c r="E22" s="236" t="s">
        <v>623</v>
      </c>
      <c r="F22" s="296">
        <f>ROUND('NCS Recruitment 250 hosp 5 prov'!G72*'NCS Recruitment 250 hosp 5 prov'!G78*'NCS Recruitment 250 hosp 5 prov'!G79,0)</f>
        <v>750</v>
      </c>
      <c r="G22" s="208">
        <v>1</v>
      </c>
      <c r="H22" s="208">
        <v>1</v>
      </c>
      <c r="I22" s="208">
        <v>1</v>
      </c>
      <c r="J22" s="238">
        <f t="shared" si="10"/>
        <v>545.6</v>
      </c>
      <c r="K22" s="269">
        <f t="shared" si="12"/>
        <v>409200</v>
      </c>
      <c r="L22" s="238">
        <v>220</v>
      </c>
      <c r="M22" s="269">
        <f t="shared" si="1"/>
        <v>165000</v>
      </c>
      <c r="N22" s="238">
        <v>78</v>
      </c>
      <c r="O22" s="269">
        <f t="shared" si="2"/>
        <v>58500</v>
      </c>
      <c r="P22" s="254">
        <v>0</v>
      </c>
      <c r="Q22" s="269">
        <f t="shared" si="3"/>
        <v>0</v>
      </c>
      <c r="R22" s="238">
        <v>15</v>
      </c>
      <c r="S22" s="269">
        <f t="shared" si="4"/>
        <v>11250</v>
      </c>
      <c r="T22" s="238">
        <v>0</v>
      </c>
      <c r="U22" s="269">
        <f t="shared" si="5"/>
        <v>0</v>
      </c>
      <c r="V22" s="238">
        <v>66</v>
      </c>
      <c r="W22" s="269">
        <f t="shared" si="6"/>
        <v>49500</v>
      </c>
      <c r="X22" s="238">
        <v>104</v>
      </c>
      <c r="Y22" s="257">
        <v>0.1774</v>
      </c>
      <c r="Z22" s="269">
        <f t="shared" si="7"/>
        <v>122.4496</v>
      </c>
      <c r="AA22" s="269">
        <f t="shared" si="8"/>
        <v>91837.2</v>
      </c>
      <c r="AB22" s="272">
        <f t="shared" si="9"/>
        <v>785287.2</v>
      </c>
      <c r="AC22" s="197"/>
    </row>
    <row r="23" spans="1:31" ht="15" customHeight="1" x14ac:dyDescent="0.2">
      <c r="A23" s="233" t="s">
        <v>598</v>
      </c>
      <c r="B23" s="234" t="s">
        <v>599</v>
      </c>
      <c r="C23" s="235" t="s">
        <v>490</v>
      </c>
      <c r="D23" s="236" t="s">
        <v>622</v>
      </c>
      <c r="E23" s="236" t="s">
        <v>623</v>
      </c>
      <c r="F23" s="237">
        <f>ROUND('NCS Recruitment 250 hosp 5 prov'!P25*'NCS Recruitment 250 hosp 5 prov'!P27,0)</f>
        <v>12</v>
      </c>
      <c r="G23" s="208">
        <v>2</v>
      </c>
      <c r="H23" s="208">
        <v>2</v>
      </c>
      <c r="I23" s="208">
        <v>2</v>
      </c>
      <c r="J23" s="238">
        <f t="shared" si="10"/>
        <v>545.6</v>
      </c>
      <c r="K23" s="269">
        <f t="shared" si="12"/>
        <v>13094.400000000001</v>
      </c>
      <c r="L23" s="238">
        <v>220</v>
      </c>
      <c r="M23" s="269">
        <f t="shared" si="1"/>
        <v>5280</v>
      </c>
      <c r="N23" s="238">
        <v>78</v>
      </c>
      <c r="O23" s="269">
        <f t="shared" si="2"/>
        <v>1872</v>
      </c>
      <c r="P23" s="254">
        <v>0</v>
      </c>
      <c r="Q23" s="269">
        <f t="shared" si="3"/>
        <v>0</v>
      </c>
      <c r="R23" s="238">
        <v>15</v>
      </c>
      <c r="S23" s="269">
        <f t="shared" si="4"/>
        <v>360</v>
      </c>
      <c r="T23" s="238">
        <v>0</v>
      </c>
      <c r="U23" s="269">
        <f t="shared" si="5"/>
        <v>0</v>
      </c>
      <c r="V23" s="238">
        <v>66</v>
      </c>
      <c r="W23" s="269">
        <f t="shared" si="6"/>
        <v>3168</v>
      </c>
      <c r="X23" s="238">
        <v>104</v>
      </c>
      <c r="Y23" s="257">
        <v>0.1774</v>
      </c>
      <c r="Z23" s="269">
        <f t="shared" si="7"/>
        <v>122.4496</v>
      </c>
      <c r="AA23" s="269">
        <f t="shared" si="8"/>
        <v>5877.5807999999997</v>
      </c>
      <c r="AB23" s="272">
        <f t="shared" si="9"/>
        <v>29651.980800000001</v>
      </c>
      <c r="AC23" s="197"/>
    </row>
    <row r="24" spans="1:31" ht="15" customHeight="1" x14ac:dyDescent="0.2">
      <c r="A24" s="233" t="s">
        <v>598</v>
      </c>
      <c r="B24" s="234" t="s">
        <v>600</v>
      </c>
      <c r="C24" s="235" t="s">
        <v>491</v>
      </c>
      <c r="D24" s="236" t="s">
        <v>434</v>
      </c>
      <c r="E24" s="236" t="s">
        <v>434</v>
      </c>
      <c r="F24" s="297">
        <f>'NCS Recruitment 250 hosp 5 prov'!P3*'NCS Recruitment 250 hosp 5 prov'!Q1</f>
        <v>22100</v>
      </c>
      <c r="G24" s="208">
        <v>1</v>
      </c>
      <c r="H24" s="208">
        <v>1</v>
      </c>
      <c r="I24" s="208">
        <v>0</v>
      </c>
      <c r="J24" s="238">
        <v>0</v>
      </c>
      <c r="K24" s="269">
        <f t="shared" si="12"/>
        <v>0</v>
      </c>
      <c r="L24" s="238">
        <v>0</v>
      </c>
      <c r="M24" s="269">
        <f t="shared" si="1"/>
        <v>0</v>
      </c>
      <c r="N24" s="238">
        <v>0</v>
      </c>
      <c r="O24" s="269">
        <f t="shared" si="2"/>
        <v>0</v>
      </c>
      <c r="P24" s="254">
        <v>50</v>
      </c>
      <c r="Q24" s="269">
        <f t="shared" si="3"/>
        <v>624324.99999999988</v>
      </c>
      <c r="R24" s="238">
        <v>0</v>
      </c>
      <c r="S24" s="269">
        <f t="shared" si="4"/>
        <v>0</v>
      </c>
      <c r="T24" s="238">
        <v>0</v>
      </c>
      <c r="U24" s="269">
        <f t="shared" si="5"/>
        <v>0</v>
      </c>
      <c r="V24" s="238">
        <v>0</v>
      </c>
      <c r="W24" s="269">
        <f t="shared" si="6"/>
        <v>0</v>
      </c>
      <c r="X24" s="238">
        <v>0</v>
      </c>
      <c r="Y24" s="257">
        <v>0</v>
      </c>
      <c r="Z24" s="269">
        <f t="shared" si="7"/>
        <v>0</v>
      </c>
      <c r="AA24" s="269">
        <f t="shared" si="8"/>
        <v>0</v>
      </c>
      <c r="AB24" s="272">
        <f t="shared" si="9"/>
        <v>624324.99999999988</v>
      </c>
      <c r="AC24" s="197"/>
    </row>
    <row r="25" spans="1:31" ht="15" customHeight="1" x14ac:dyDescent="0.2">
      <c r="A25" s="233" t="s">
        <v>598</v>
      </c>
      <c r="B25" s="234" t="s">
        <v>601</v>
      </c>
      <c r="C25" s="235" t="s">
        <v>492</v>
      </c>
      <c r="D25" s="236" t="s">
        <v>623</v>
      </c>
      <c r="E25" s="236" t="s">
        <v>622</v>
      </c>
      <c r="F25" s="237">
        <f>ROUND('NCS Recruitment 250 hosp 5 prov'!P32*'NCS Recruitment 250 hosp 5 prov'!P33*'NCS Recruitment 250 hosp 5 prov'!P34,0)</f>
        <v>675</v>
      </c>
      <c r="G25" s="208">
        <v>1</v>
      </c>
      <c r="H25" s="208">
        <v>2</v>
      </c>
      <c r="I25" s="208">
        <v>2</v>
      </c>
      <c r="J25" s="238">
        <f t="shared" si="10"/>
        <v>545.6</v>
      </c>
      <c r="K25" s="269">
        <f t="shared" si="12"/>
        <v>368280</v>
      </c>
      <c r="L25" s="238">
        <v>220</v>
      </c>
      <c r="M25" s="269">
        <f t="shared" si="1"/>
        <v>148500</v>
      </c>
      <c r="N25" s="238">
        <v>0</v>
      </c>
      <c r="O25" s="269">
        <f t="shared" si="2"/>
        <v>0</v>
      </c>
      <c r="P25" s="254">
        <v>0</v>
      </c>
      <c r="Q25" s="269">
        <f t="shared" si="3"/>
        <v>0</v>
      </c>
      <c r="R25" s="238">
        <v>15</v>
      </c>
      <c r="S25" s="269">
        <f t="shared" si="4"/>
        <v>20250</v>
      </c>
      <c r="T25" s="238">
        <v>0</v>
      </c>
      <c r="U25" s="269">
        <f t="shared" si="5"/>
        <v>0</v>
      </c>
      <c r="V25" s="238">
        <v>0</v>
      </c>
      <c r="W25" s="269">
        <f t="shared" si="6"/>
        <v>0</v>
      </c>
      <c r="X25" s="238">
        <v>119</v>
      </c>
      <c r="Y25" s="257">
        <v>0.15</v>
      </c>
      <c r="Z25" s="269">
        <f t="shared" si="7"/>
        <v>136.85</v>
      </c>
      <c r="AA25" s="269">
        <f t="shared" si="8"/>
        <v>184747.5</v>
      </c>
      <c r="AB25" s="272">
        <f t="shared" si="9"/>
        <v>721777.5</v>
      </c>
      <c r="AC25" s="197"/>
    </row>
    <row r="26" spans="1:31" ht="15" customHeight="1" x14ac:dyDescent="0.2">
      <c r="A26" s="233" t="s">
        <v>602</v>
      </c>
      <c r="B26" s="234" t="s">
        <v>603</v>
      </c>
      <c r="C26" s="235" t="s">
        <v>490</v>
      </c>
      <c r="D26" s="236" t="s">
        <v>622</v>
      </c>
      <c r="E26" s="236" t="s">
        <v>482</v>
      </c>
      <c r="F26" s="237">
        <f>ROUND('NCS Recruitment 250 hosp 5 prov'!AA20*'NCS Recruitment 250 hosp 5 prov'!AA21+'NCS Recruitment 250 hosp 5 prov'!AA25*'NCS Recruitment 250 hosp 5 prov'!AA26,0)</f>
        <v>151</v>
      </c>
      <c r="G26" s="208">
        <v>2</v>
      </c>
      <c r="H26" s="208">
        <v>2</v>
      </c>
      <c r="I26" s="208">
        <v>2</v>
      </c>
      <c r="J26" s="238">
        <f t="shared" si="10"/>
        <v>545.6</v>
      </c>
      <c r="K26" s="269">
        <f t="shared" si="12"/>
        <v>164771.20000000001</v>
      </c>
      <c r="L26" s="238">
        <v>220</v>
      </c>
      <c r="M26" s="269">
        <f t="shared" si="1"/>
        <v>66440</v>
      </c>
      <c r="N26" s="238">
        <v>78</v>
      </c>
      <c r="O26" s="269">
        <f t="shared" si="2"/>
        <v>23556</v>
      </c>
      <c r="P26" s="254">
        <v>0</v>
      </c>
      <c r="Q26" s="269">
        <f t="shared" si="3"/>
        <v>0</v>
      </c>
      <c r="R26" s="238">
        <v>15</v>
      </c>
      <c r="S26" s="269">
        <f t="shared" si="4"/>
        <v>4530</v>
      </c>
      <c r="T26" s="238">
        <v>0</v>
      </c>
      <c r="U26" s="269">
        <f t="shared" si="5"/>
        <v>0</v>
      </c>
      <c r="V26" s="238">
        <v>66</v>
      </c>
      <c r="W26" s="269">
        <f t="shared" si="6"/>
        <v>39864</v>
      </c>
      <c r="X26" s="238">
        <v>104</v>
      </c>
      <c r="Y26" s="257">
        <v>0.1774</v>
      </c>
      <c r="Z26" s="269">
        <f t="shared" si="7"/>
        <v>122.4496</v>
      </c>
      <c r="AA26" s="269">
        <f t="shared" si="8"/>
        <v>73959.558400000009</v>
      </c>
      <c r="AB26" s="272">
        <f t="shared" si="9"/>
        <v>373120.75840000005</v>
      </c>
      <c r="AC26" s="197"/>
    </row>
    <row r="27" spans="1:31" ht="15" customHeight="1" x14ac:dyDescent="0.2">
      <c r="A27" s="233" t="s">
        <v>602</v>
      </c>
      <c r="B27" s="234" t="s">
        <v>604</v>
      </c>
      <c r="C27" s="235" t="s">
        <v>491</v>
      </c>
      <c r="D27" s="236" t="s">
        <v>434</v>
      </c>
      <c r="E27" s="236" t="s">
        <v>434</v>
      </c>
      <c r="F27" s="297">
        <f>'NCS Recruitment 250 hosp 5 prov'!AA7</f>
        <v>22100</v>
      </c>
      <c r="G27" s="208">
        <v>1</v>
      </c>
      <c r="H27" s="208">
        <v>1</v>
      </c>
      <c r="I27" s="208">
        <v>0</v>
      </c>
      <c r="J27" s="238">
        <v>0</v>
      </c>
      <c r="K27" s="269">
        <f t="shared" si="12"/>
        <v>0</v>
      </c>
      <c r="L27" s="238">
        <v>0</v>
      </c>
      <c r="M27" s="269">
        <f t="shared" si="1"/>
        <v>0</v>
      </c>
      <c r="N27" s="238">
        <v>0</v>
      </c>
      <c r="O27" s="269">
        <f t="shared" si="2"/>
        <v>0</v>
      </c>
      <c r="P27" s="254">
        <v>50</v>
      </c>
      <c r="Q27" s="269">
        <f t="shared" si="3"/>
        <v>624324.99999999988</v>
      </c>
      <c r="R27" s="238">
        <v>0</v>
      </c>
      <c r="S27" s="269">
        <f t="shared" si="4"/>
        <v>0</v>
      </c>
      <c r="T27" s="238">
        <v>0</v>
      </c>
      <c r="U27" s="269">
        <f t="shared" si="5"/>
        <v>0</v>
      </c>
      <c r="V27" s="238">
        <v>0</v>
      </c>
      <c r="W27" s="269">
        <f t="shared" si="6"/>
        <v>0</v>
      </c>
      <c r="X27" s="238">
        <v>0</v>
      </c>
      <c r="Y27" s="257">
        <v>0</v>
      </c>
      <c r="Z27" s="269">
        <f t="shared" si="7"/>
        <v>0</v>
      </c>
      <c r="AA27" s="269">
        <f t="shared" si="8"/>
        <v>0</v>
      </c>
      <c r="AB27" s="272">
        <f t="shared" si="9"/>
        <v>624324.99999999988</v>
      </c>
      <c r="AC27" s="197"/>
      <c r="AD27" s="191"/>
      <c r="AE27" s="191"/>
    </row>
    <row r="28" spans="1:31" ht="15" customHeight="1" x14ac:dyDescent="0.2">
      <c r="A28" s="233" t="s">
        <v>602</v>
      </c>
      <c r="B28" s="234" t="s">
        <v>605</v>
      </c>
      <c r="C28" s="235" t="s">
        <v>492</v>
      </c>
      <c r="D28" s="236" t="s">
        <v>623</v>
      </c>
      <c r="E28" s="236" t="s">
        <v>622</v>
      </c>
      <c r="F28" s="237">
        <f>ROUND(+'NCS Recruitment 250 hosp 5 prov'!AA37*'NCS Recruitment 250 hosp 5 prov'!AA38+'NCS Recruitment 250 hosp 5 prov'!AA31*'NCS Recruitment 250 hosp 5 prov'!AA32,0)</f>
        <v>636</v>
      </c>
      <c r="G28" s="208">
        <v>1</v>
      </c>
      <c r="H28" s="208">
        <v>2</v>
      </c>
      <c r="I28" s="208">
        <v>2</v>
      </c>
      <c r="J28" s="238">
        <f t="shared" si="10"/>
        <v>545.6</v>
      </c>
      <c r="K28" s="269">
        <f t="shared" si="12"/>
        <v>347001.60000000003</v>
      </c>
      <c r="L28" s="238">
        <v>220</v>
      </c>
      <c r="M28" s="269">
        <f t="shared" si="1"/>
        <v>139920</v>
      </c>
      <c r="N28" s="238">
        <v>0</v>
      </c>
      <c r="O28" s="269">
        <f t="shared" si="2"/>
        <v>0</v>
      </c>
      <c r="P28" s="254">
        <v>0</v>
      </c>
      <c r="Q28" s="269">
        <f t="shared" si="3"/>
        <v>0</v>
      </c>
      <c r="R28" s="238">
        <v>15</v>
      </c>
      <c r="S28" s="269">
        <f t="shared" si="4"/>
        <v>19080</v>
      </c>
      <c r="T28" s="238">
        <v>0</v>
      </c>
      <c r="U28" s="269">
        <f t="shared" si="5"/>
        <v>0</v>
      </c>
      <c r="V28" s="238">
        <v>0</v>
      </c>
      <c r="W28" s="269">
        <f t="shared" si="6"/>
        <v>0</v>
      </c>
      <c r="X28" s="238">
        <v>119</v>
      </c>
      <c r="Y28" s="257">
        <v>0.15</v>
      </c>
      <c r="Z28" s="269">
        <f t="shared" si="7"/>
        <v>136.85</v>
      </c>
      <c r="AA28" s="269">
        <f t="shared" si="8"/>
        <v>174073.19999999998</v>
      </c>
      <c r="AB28" s="272">
        <f t="shared" si="9"/>
        <v>680074.8</v>
      </c>
      <c r="AC28" s="197"/>
      <c r="AD28" s="191"/>
      <c r="AE28" s="191"/>
    </row>
    <row r="29" spans="1:31" ht="15" customHeight="1" x14ac:dyDescent="0.2">
      <c r="A29" s="233"/>
      <c r="B29" s="234" t="s">
        <v>605</v>
      </c>
      <c r="C29" s="235"/>
      <c r="D29" s="236"/>
      <c r="E29" s="236"/>
      <c r="F29" s="237"/>
      <c r="G29" s="208"/>
      <c r="H29" s="208"/>
      <c r="I29" s="208"/>
      <c r="J29" s="238">
        <v>0</v>
      </c>
      <c r="K29" s="269">
        <f t="shared" si="12"/>
        <v>0</v>
      </c>
      <c r="L29" s="238">
        <v>0</v>
      </c>
      <c r="M29" s="269">
        <f t="shared" si="1"/>
        <v>0</v>
      </c>
      <c r="N29" s="238">
        <v>0</v>
      </c>
      <c r="O29" s="269">
        <f t="shared" si="2"/>
        <v>0</v>
      </c>
      <c r="P29" s="254">
        <v>0</v>
      </c>
      <c r="Q29" s="269">
        <f t="shared" si="3"/>
        <v>0</v>
      </c>
      <c r="R29" s="238">
        <v>0</v>
      </c>
      <c r="S29" s="269">
        <f t="shared" si="4"/>
        <v>0</v>
      </c>
      <c r="T29" s="238">
        <v>0</v>
      </c>
      <c r="U29" s="269">
        <f t="shared" si="5"/>
        <v>0</v>
      </c>
      <c r="V29" s="238">
        <v>0</v>
      </c>
      <c r="W29" s="269">
        <f t="shared" si="6"/>
        <v>0</v>
      </c>
      <c r="X29" s="238">
        <v>0</v>
      </c>
      <c r="Y29" s="257">
        <v>0</v>
      </c>
      <c r="Z29" s="269">
        <f t="shared" si="7"/>
        <v>0</v>
      </c>
      <c r="AA29" s="269">
        <f t="shared" si="8"/>
        <v>0</v>
      </c>
      <c r="AB29" s="272">
        <f t="shared" si="9"/>
        <v>0</v>
      </c>
      <c r="AC29" s="197"/>
      <c r="AD29" s="191"/>
      <c r="AE29" s="191"/>
    </row>
    <row r="30" spans="1:31" ht="15" x14ac:dyDescent="0.2">
      <c r="A30" s="233"/>
      <c r="B30" s="234" t="s">
        <v>606</v>
      </c>
      <c r="C30" s="235"/>
      <c r="D30" s="236"/>
      <c r="E30" s="236"/>
      <c r="F30" s="237"/>
      <c r="G30" s="208"/>
      <c r="H30" s="208"/>
      <c r="I30" s="208"/>
      <c r="J30" s="238">
        <v>0</v>
      </c>
      <c r="K30" s="269">
        <f t="shared" si="12"/>
        <v>0</v>
      </c>
      <c r="L30" s="238">
        <v>0</v>
      </c>
      <c r="M30" s="269">
        <f t="shared" si="1"/>
        <v>0</v>
      </c>
      <c r="N30" s="238">
        <v>0</v>
      </c>
      <c r="O30" s="269">
        <f t="shared" si="2"/>
        <v>0</v>
      </c>
      <c r="P30" s="254">
        <v>0</v>
      </c>
      <c r="Q30" s="269">
        <f t="shared" si="3"/>
        <v>0</v>
      </c>
      <c r="R30" s="238">
        <v>0</v>
      </c>
      <c r="S30" s="269">
        <f t="shared" si="4"/>
        <v>0</v>
      </c>
      <c r="T30" s="238">
        <v>0</v>
      </c>
      <c r="U30" s="269">
        <f t="shared" si="5"/>
        <v>0</v>
      </c>
      <c r="V30" s="238">
        <v>0</v>
      </c>
      <c r="W30" s="269">
        <f t="shared" si="6"/>
        <v>0</v>
      </c>
      <c r="X30" s="238">
        <v>0</v>
      </c>
      <c r="Y30" s="257">
        <v>0</v>
      </c>
      <c r="Z30" s="269">
        <f t="shared" si="7"/>
        <v>0</v>
      </c>
      <c r="AA30" s="269">
        <f t="shared" si="8"/>
        <v>0</v>
      </c>
      <c r="AB30" s="272">
        <f t="shared" si="9"/>
        <v>0</v>
      </c>
      <c r="AC30" s="197"/>
      <c r="AD30" s="191"/>
      <c r="AE30" s="191"/>
    </row>
    <row r="31" spans="1:31" ht="15" x14ac:dyDescent="0.2">
      <c r="A31" s="233"/>
      <c r="B31" s="234" t="s">
        <v>607</v>
      </c>
      <c r="C31" s="235"/>
      <c r="D31" s="236"/>
      <c r="E31" s="236"/>
      <c r="F31" s="237"/>
      <c r="G31" s="208"/>
      <c r="H31" s="208"/>
      <c r="I31" s="208"/>
      <c r="J31" s="238">
        <v>0</v>
      </c>
      <c r="K31" s="269">
        <f t="shared" si="12"/>
        <v>0</v>
      </c>
      <c r="L31" s="238">
        <v>0</v>
      </c>
      <c r="M31" s="269">
        <f t="shared" si="1"/>
        <v>0</v>
      </c>
      <c r="N31" s="238">
        <v>0</v>
      </c>
      <c r="O31" s="269">
        <f t="shared" si="2"/>
        <v>0</v>
      </c>
      <c r="P31" s="254">
        <v>0</v>
      </c>
      <c r="Q31" s="269">
        <f t="shared" si="3"/>
        <v>0</v>
      </c>
      <c r="R31" s="238">
        <v>0</v>
      </c>
      <c r="S31" s="269">
        <f t="shared" si="4"/>
        <v>0</v>
      </c>
      <c r="T31" s="238">
        <v>0</v>
      </c>
      <c r="U31" s="269">
        <f t="shared" si="5"/>
        <v>0</v>
      </c>
      <c r="V31" s="238">
        <v>0</v>
      </c>
      <c r="W31" s="269">
        <f t="shared" si="6"/>
        <v>0</v>
      </c>
      <c r="X31" s="238">
        <v>0</v>
      </c>
      <c r="Y31" s="257">
        <v>0</v>
      </c>
      <c r="Z31" s="269">
        <f t="shared" si="7"/>
        <v>0</v>
      </c>
      <c r="AA31" s="269">
        <f t="shared" si="8"/>
        <v>0</v>
      </c>
      <c r="AB31" s="272">
        <f t="shared" si="9"/>
        <v>0</v>
      </c>
      <c r="AC31" s="197"/>
      <c r="AD31" s="191"/>
      <c r="AE31" s="191"/>
    </row>
    <row r="32" spans="1:31" ht="15" x14ac:dyDescent="0.2">
      <c r="A32" s="233"/>
      <c r="B32" s="234" t="s">
        <v>608</v>
      </c>
      <c r="C32" s="235"/>
      <c r="D32" s="236"/>
      <c r="E32" s="236"/>
      <c r="F32" s="237"/>
      <c r="G32" s="208"/>
      <c r="H32" s="208"/>
      <c r="I32" s="208"/>
      <c r="J32" s="238">
        <v>0</v>
      </c>
      <c r="K32" s="269">
        <f t="shared" si="12"/>
        <v>0</v>
      </c>
      <c r="L32" s="238">
        <v>0</v>
      </c>
      <c r="M32" s="269">
        <f t="shared" si="1"/>
        <v>0</v>
      </c>
      <c r="N32" s="238">
        <v>0</v>
      </c>
      <c r="O32" s="269">
        <f t="shared" si="2"/>
        <v>0</v>
      </c>
      <c r="P32" s="254">
        <v>0</v>
      </c>
      <c r="Q32" s="269">
        <f t="shared" si="3"/>
        <v>0</v>
      </c>
      <c r="R32" s="238">
        <v>0</v>
      </c>
      <c r="S32" s="269">
        <f t="shared" si="4"/>
        <v>0</v>
      </c>
      <c r="T32" s="238">
        <v>0</v>
      </c>
      <c r="U32" s="269">
        <f t="shared" si="5"/>
        <v>0</v>
      </c>
      <c r="V32" s="238">
        <v>0</v>
      </c>
      <c r="W32" s="269">
        <f t="shared" si="6"/>
        <v>0</v>
      </c>
      <c r="X32" s="238">
        <v>0</v>
      </c>
      <c r="Y32" s="257">
        <v>0</v>
      </c>
      <c r="Z32" s="269">
        <f t="shared" si="7"/>
        <v>0</v>
      </c>
      <c r="AA32" s="269">
        <f t="shared" si="8"/>
        <v>0</v>
      </c>
      <c r="AB32" s="272">
        <f t="shared" si="9"/>
        <v>0</v>
      </c>
      <c r="AC32" s="197"/>
      <c r="AD32" s="191"/>
      <c r="AE32" s="191"/>
    </row>
    <row r="33" spans="1:31" ht="15" x14ac:dyDescent="0.2">
      <c r="A33" s="233"/>
      <c r="B33" s="234" t="s">
        <v>609</v>
      </c>
      <c r="C33" s="235"/>
      <c r="D33" s="236"/>
      <c r="E33" s="236"/>
      <c r="F33" s="237"/>
      <c r="G33" s="208"/>
      <c r="H33" s="208"/>
      <c r="I33" s="208"/>
      <c r="J33" s="238">
        <v>0</v>
      </c>
      <c r="K33" s="269">
        <f t="shared" si="12"/>
        <v>0</v>
      </c>
      <c r="L33" s="238">
        <v>0</v>
      </c>
      <c r="M33" s="269">
        <f t="shared" si="1"/>
        <v>0</v>
      </c>
      <c r="N33" s="238">
        <v>0</v>
      </c>
      <c r="O33" s="269">
        <f t="shared" si="2"/>
        <v>0</v>
      </c>
      <c r="P33" s="254">
        <v>0</v>
      </c>
      <c r="Q33" s="269">
        <f t="shared" si="3"/>
        <v>0</v>
      </c>
      <c r="R33" s="238">
        <v>0</v>
      </c>
      <c r="S33" s="269">
        <f t="shared" si="4"/>
        <v>0</v>
      </c>
      <c r="T33" s="238">
        <v>0</v>
      </c>
      <c r="U33" s="269">
        <f t="shared" si="5"/>
        <v>0</v>
      </c>
      <c r="V33" s="238">
        <v>0</v>
      </c>
      <c r="W33" s="269">
        <f t="shared" si="6"/>
        <v>0</v>
      </c>
      <c r="X33" s="238">
        <v>0</v>
      </c>
      <c r="Y33" s="257">
        <v>0</v>
      </c>
      <c r="Z33" s="269">
        <f t="shared" si="7"/>
        <v>0</v>
      </c>
      <c r="AA33" s="269">
        <f t="shared" si="8"/>
        <v>0</v>
      </c>
      <c r="AB33" s="272">
        <f t="shared" si="9"/>
        <v>0</v>
      </c>
      <c r="AC33" s="197"/>
      <c r="AD33" s="196"/>
      <c r="AE33" s="196"/>
    </row>
    <row r="34" spans="1:31" ht="15" x14ac:dyDescent="0.2">
      <c r="A34" s="233"/>
      <c r="B34" s="234" t="s">
        <v>610</v>
      </c>
      <c r="C34" s="235"/>
      <c r="D34" s="236"/>
      <c r="E34" s="236"/>
      <c r="F34" s="237"/>
      <c r="G34" s="208"/>
      <c r="H34" s="208"/>
      <c r="I34" s="208"/>
      <c r="J34" s="238">
        <v>0</v>
      </c>
      <c r="K34" s="269">
        <f t="shared" si="12"/>
        <v>0</v>
      </c>
      <c r="L34" s="238">
        <v>0</v>
      </c>
      <c r="M34" s="269">
        <f t="shared" si="1"/>
        <v>0</v>
      </c>
      <c r="N34" s="238">
        <v>0</v>
      </c>
      <c r="O34" s="269">
        <f t="shared" si="2"/>
        <v>0</v>
      </c>
      <c r="P34" s="254">
        <v>0</v>
      </c>
      <c r="Q34" s="269">
        <f t="shared" si="3"/>
        <v>0</v>
      </c>
      <c r="R34" s="238">
        <v>0</v>
      </c>
      <c r="S34" s="269">
        <f t="shared" si="4"/>
        <v>0</v>
      </c>
      <c r="T34" s="238">
        <v>0</v>
      </c>
      <c r="U34" s="269">
        <f t="shared" si="5"/>
        <v>0</v>
      </c>
      <c r="V34" s="238">
        <v>0</v>
      </c>
      <c r="W34" s="269">
        <f t="shared" si="6"/>
        <v>0</v>
      </c>
      <c r="X34" s="238">
        <v>0</v>
      </c>
      <c r="Y34" s="257">
        <v>0</v>
      </c>
      <c r="Z34" s="269">
        <f t="shared" si="7"/>
        <v>0</v>
      </c>
      <c r="AA34" s="269">
        <f t="shared" si="8"/>
        <v>0</v>
      </c>
      <c r="AB34" s="272">
        <f t="shared" si="9"/>
        <v>0</v>
      </c>
      <c r="AC34" s="197"/>
      <c r="AD34" s="196"/>
      <c r="AE34" s="196"/>
    </row>
    <row r="35" spans="1:31" ht="15" x14ac:dyDescent="0.2">
      <c r="A35" s="233"/>
      <c r="B35" s="234" t="s">
        <v>611</v>
      </c>
      <c r="C35" s="235"/>
      <c r="D35" s="236"/>
      <c r="E35" s="236"/>
      <c r="F35" s="237"/>
      <c r="G35" s="208"/>
      <c r="H35" s="208"/>
      <c r="I35" s="208"/>
      <c r="J35" s="238">
        <v>0</v>
      </c>
      <c r="K35" s="269">
        <f t="shared" si="12"/>
        <v>0</v>
      </c>
      <c r="L35" s="238">
        <v>0</v>
      </c>
      <c r="M35" s="269">
        <f t="shared" si="1"/>
        <v>0</v>
      </c>
      <c r="N35" s="238">
        <v>0</v>
      </c>
      <c r="O35" s="269">
        <f t="shared" si="2"/>
        <v>0</v>
      </c>
      <c r="P35" s="254">
        <v>0</v>
      </c>
      <c r="Q35" s="269">
        <f t="shared" si="3"/>
        <v>0</v>
      </c>
      <c r="R35" s="238">
        <v>0</v>
      </c>
      <c r="S35" s="269">
        <f t="shared" si="4"/>
        <v>0</v>
      </c>
      <c r="T35" s="238">
        <v>0</v>
      </c>
      <c r="U35" s="269">
        <f t="shared" si="5"/>
        <v>0</v>
      </c>
      <c r="V35" s="238">
        <v>0</v>
      </c>
      <c r="W35" s="269">
        <f t="shared" si="6"/>
        <v>0</v>
      </c>
      <c r="X35" s="238">
        <v>0</v>
      </c>
      <c r="Y35" s="257">
        <v>0</v>
      </c>
      <c r="Z35" s="269">
        <f t="shared" si="7"/>
        <v>0</v>
      </c>
      <c r="AA35" s="269">
        <f t="shared" si="8"/>
        <v>0</v>
      </c>
      <c r="AB35" s="272">
        <f t="shared" si="9"/>
        <v>0</v>
      </c>
      <c r="AC35" s="197"/>
      <c r="AD35" s="196"/>
      <c r="AE35" s="196"/>
    </row>
    <row r="36" spans="1:31" ht="15" x14ac:dyDescent="0.2">
      <c r="A36" s="233"/>
      <c r="B36" s="234" t="s">
        <v>612</v>
      </c>
      <c r="C36" s="235"/>
      <c r="D36" s="236"/>
      <c r="E36" s="236"/>
      <c r="F36" s="237"/>
      <c r="G36" s="208"/>
      <c r="H36" s="208"/>
      <c r="I36" s="208"/>
      <c r="J36" s="238">
        <v>0</v>
      </c>
      <c r="K36" s="269">
        <f t="shared" si="12"/>
        <v>0</v>
      </c>
      <c r="L36" s="238">
        <v>0</v>
      </c>
      <c r="M36" s="269">
        <f t="shared" si="1"/>
        <v>0</v>
      </c>
      <c r="N36" s="238">
        <v>0</v>
      </c>
      <c r="O36" s="269">
        <f t="shared" si="2"/>
        <v>0</v>
      </c>
      <c r="P36" s="254">
        <v>0</v>
      </c>
      <c r="Q36" s="269">
        <f t="shared" si="3"/>
        <v>0</v>
      </c>
      <c r="R36" s="238">
        <v>0</v>
      </c>
      <c r="S36" s="269">
        <f t="shared" si="4"/>
        <v>0</v>
      </c>
      <c r="T36" s="238">
        <v>0</v>
      </c>
      <c r="U36" s="269">
        <f t="shared" si="5"/>
        <v>0</v>
      </c>
      <c r="V36" s="238">
        <v>0</v>
      </c>
      <c r="W36" s="269">
        <f t="shared" si="6"/>
        <v>0</v>
      </c>
      <c r="X36" s="238">
        <v>0</v>
      </c>
      <c r="Y36" s="257">
        <v>0</v>
      </c>
      <c r="Z36" s="269">
        <f t="shared" si="7"/>
        <v>0</v>
      </c>
      <c r="AA36" s="269">
        <f t="shared" si="8"/>
        <v>0</v>
      </c>
      <c r="AB36" s="272">
        <f t="shared" si="9"/>
        <v>0</v>
      </c>
      <c r="AC36" s="197"/>
      <c r="AD36" s="196"/>
      <c r="AE36" s="196"/>
    </row>
    <row r="37" spans="1:31" ht="15" x14ac:dyDescent="0.2">
      <c r="A37" s="233"/>
      <c r="B37" s="234" t="s">
        <v>613</v>
      </c>
      <c r="C37" s="235"/>
      <c r="D37" s="236"/>
      <c r="E37" s="236"/>
      <c r="F37" s="237"/>
      <c r="G37" s="208"/>
      <c r="H37" s="208"/>
      <c r="I37" s="208"/>
      <c r="J37" s="238">
        <v>0</v>
      </c>
      <c r="K37" s="269">
        <f t="shared" si="12"/>
        <v>0</v>
      </c>
      <c r="L37" s="238">
        <v>0</v>
      </c>
      <c r="M37" s="269">
        <f t="shared" si="1"/>
        <v>0</v>
      </c>
      <c r="N37" s="238">
        <v>0</v>
      </c>
      <c r="O37" s="269">
        <f t="shared" si="2"/>
        <v>0</v>
      </c>
      <c r="P37" s="254">
        <v>0</v>
      </c>
      <c r="Q37" s="269">
        <f t="shared" si="3"/>
        <v>0</v>
      </c>
      <c r="R37" s="238">
        <v>0</v>
      </c>
      <c r="S37" s="269">
        <f t="shared" si="4"/>
        <v>0</v>
      </c>
      <c r="T37" s="238">
        <v>0</v>
      </c>
      <c r="U37" s="269">
        <f t="shared" si="5"/>
        <v>0</v>
      </c>
      <c r="V37" s="238">
        <v>0</v>
      </c>
      <c r="W37" s="269">
        <f t="shared" si="6"/>
        <v>0</v>
      </c>
      <c r="X37" s="238">
        <v>0</v>
      </c>
      <c r="Y37" s="257">
        <v>0</v>
      </c>
      <c r="Z37" s="269">
        <f t="shared" si="7"/>
        <v>0</v>
      </c>
      <c r="AA37" s="269">
        <f t="shared" si="8"/>
        <v>0</v>
      </c>
      <c r="AB37" s="272">
        <f t="shared" si="9"/>
        <v>0</v>
      </c>
      <c r="AC37" s="197"/>
      <c r="AD37" s="196"/>
      <c r="AE37" s="196"/>
    </row>
    <row r="38" spans="1:31" ht="15" x14ac:dyDescent="0.2">
      <c r="A38" s="233"/>
      <c r="B38" s="234" t="s">
        <v>614</v>
      </c>
      <c r="C38" s="235"/>
      <c r="D38" s="236"/>
      <c r="E38" s="236"/>
      <c r="F38" s="237"/>
      <c r="G38" s="208"/>
      <c r="H38" s="208"/>
      <c r="I38" s="208"/>
      <c r="J38" s="238">
        <v>0</v>
      </c>
      <c r="K38" s="269">
        <f t="shared" si="12"/>
        <v>0</v>
      </c>
      <c r="L38" s="238">
        <v>0</v>
      </c>
      <c r="M38" s="269">
        <f t="shared" si="1"/>
        <v>0</v>
      </c>
      <c r="N38" s="238">
        <v>0</v>
      </c>
      <c r="O38" s="269">
        <f t="shared" si="2"/>
        <v>0</v>
      </c>
      <c r="P38" s="254">
        <v>0</v>
      </c>
      <c r="Q38" s="269">
        <f t="shared" si="3"/>
        <v>0</v>
      </c>
      <c r="R38" s="238">
        <v>0</v>
      </c>
      <c r="S38" s="269">
        <f t="shared" si="4"/>
        <v>0</v>
      </c>
      <c r="T38" s="238">
        <v>0</v>
      </c>
      <c r="U38" s="269">
        <f t="shared" si="5"/>
        <v>0</v>
      </c>
      <c r="V38" s="238">
        <v>0</v>
      </c>
      <c r="W38" s="269">
        <f t="shared" si="6"/>
        <v>0</v>
      </c>
      <c r="X38" s="238">
        <v>0</v>
      </c>
      <c r="Y38" s="257">
        <v>0</v>
      </c>
      <c r="Z38" s="269">
        <f t="shared" si="7"/>
        <v>0</v>
      </c>
      <c r="AA38" s="269">
        <f t="shared" si="8"/>
        <v>0</v>
      </c>
      <c r="AB38" s="272">
        <f t="shared" si="9"/>
        <v>0</v>
      </c>
      <c r="AC38" s="197"/>
      <c r="AD38" s="196"/>
      <c r="AE38" s="196"/>
    </row>
    <row r="39" spans="1:31" ht="15" x14ac:dyDescent="0.2">
      <c r="A39" s="233"/>
      <c r="B39" s="234" t="s">
        <v>615</v>
      </c>
      <c r="C39" s="235"/>
      <c r="D39" s="236"/>
      <c r="E39" s="236"/>
      <c r="F39" s="237"/>
      <c r="G39" s="208"/>
      <c r="H39" s="208"/>
      <c r="I39" s="208"/>
      <c r="J39" s="238">
        <v>0</v>
      </c>
      <c r="K39" s="269">
        <f t="shared" si="12"/>
        <v>0</v>
      </c>
      <c r="L39" s="238">
        <v>0</v>
      </c>
      <c r="M39" s="269">
        <f t="shared" si="1"/>
        <v>0</v>
      </c>
      <c r="N39" s="238">
        <v>0</v>
      </c>
      <c r="O39" s="269">
        <f t="shared" si="2"/>
        <v>0</v>
      </c>
      <c r="P39" s="254">
        <v>0</v>
      </c>
      <c r="Q39" s="269">
        <f t="shared" si="3"/>
        <v>0</v>
      </c>
      <c r="R39" s="238">
        <v>0</v>
      </c>
      <c r="S39" s="269">
        <f t="shared" si="4"/>
        <v>0</v>
      </c>
      <c r="T39" s="238">
        <v>0</v>
      </c>
      <c r="U39" s="269">
        <f t="shared" si="5"/>
        <v>0</v>
      </c>
      <c r="V39" s="238">
        <v>0</v>
      </c>
      <c r="W39" s="269">
        <f t="shared" si="6"/>
        <v>0</v>
      </c>
      <c r="X39" s="238">
        <v>0</v>
      </c>
      <c r="Y39" s="257">
        <v>0</v>
      </c>
      <c r="Z39" s="269">
        <f t="shared" si="7"/>
        <v>0</v>
      </c>
      <c r="AA39" s="269">
        <f t="shared" si="8"/>
        <v>0</v>
      </c>
      <c r="AB39" s="272">
        <f t="shared" si="9"/>
        <v>0</v>
      </c>
      <c r="AC39" s="197"/>
      <c r="AD39" s="196"/>
      <c r="AE39" s="196"/>
    </row>
    <row r="40" spans="1:31" ht="15" x14ac:dyDescent="0.2">
      <c r="A40" s="239"/>
      <c r="B40" s="240" t="s">
        <v>616</v>
      </c>
      <c r="C40" s="241"/>
      <c r="D40" s="242"/>
      <c r="E40" s="242"/>
      <c r="F40" s="243"/>
      <c r="G40" s="244"/>
      <c r="H40" s="244"/>
      <c r="I40" s="244"/>
      <c r="J40" s="245">
        <v>0</v>
      </c>
      <c r="K40" s="270">
        <f t="shared" si="12"/>
        <v>0</v>
      </c>
      <c r="L40" s="245">
        <v>0</v>
      </c>
      <c r="M40" s="270">
        <f t="shared" si="1"/>
        <v>0</v>
      </c>
      <c r="N40" s="245">
        <v>0</v>
      </c>
      <c r="O40" s="270">
        <f t="shared" si="2"/>
        <v>0</v>
      </c>
      <c r="P40" s="255">
        <v>0</v>
      </c>
      <c r="Q40" s="270">
        <f t="shared" si="3"/>
        <v>0</v>
      </c>
      <c r="R40" s="245">
        <v>0</v>
      </c>
      <c r="S40" s="270">
        <f t="shared" si="4"/>
        <v>0</v>
      </c>
      <c r="T40" s="245">
        <v>0</v>
      </c>
      <c r="U40" s="270">
        <f t="shared" si="5"/>
        <v>0</v>
      </c>
      <c r="V40" s="245">
        <v>0</v>
      </c>
      <c r="W40" s="270">
        <f t="shared" si="6"/>
        <v>0</v>
      </c>
      <c r="X40" s="245">
        <v>0</v>
      </c>
      <c r="Y40" s="258">
        <v>0</v>
      </c>
      <c r="Z40" s="270">
        <f t="shared" si="7"/>
        <v>0</v>
      </c>
      <c r="AA40" s="270">
        <f t="shared" si="8"/>
        <v>0</v>
      </c>
      <c r="AB40" s="273">
        <f t="shared" si="9"/>
        <v>0</v>
      </c>
      <c r="AC40" s="197"/>
      <c r="AD40" s="196"/>
      <c r="AE40" s="196"/>
    </row>
    <row r="41" spans="1:31" ht="15" x14ac:dyDescent="0.2">
      <c r="A41" s="259"/>
      <c r="B41" s="260"/>
      <c r="C41" s="261"/>
      <c r="D41" s="262"/>
      <c r="E41" s="262"/>
      <c r="F41" s="262"/>
      <c r="G41" s="262"/>
      <c r="H41" s="262"/>
      <c r="I41" s="262"/>
      <c r="J41" s="263"/>
      <c r="K41" s="267"/>
      <c r="L41" s="263"/>
      <c r="M41" s="267"/>
      <c r="N41" s="263"/>
      <c r="O41" s="267"/>
      <c r="P41" s="264"/>
      <c r="Q41" s="267"/>
      <c r="R41" s="263"/>
      <c r="S41" s="267"/>
      <c r="T41" s="263"/>
      <c r="U41" s="267"/>
      <c r="V41" s="263"/>
      <c r="W41" s="267"/>
      <c r="X41" s="263"/>
      <c r="Y41" s="265"/>
      <c r="Z41" s="266"/>
      <c r="AA41" s="267"/>
      <c r="AB41" s="267"/>
      <c r="AC41" s="197"/>
      <c r="AD41" s="196"/>
      <c r="AE41" s="265"/>
    </row>
    <row r="42" spans="1:31" x14ac:dyDescent="0.2">
      <c r="A42" s="199"/>
      <c r="B42" s="199"/>
      <c r="C42" s="199"/>
      <c r="D42" s="246" t="s">
        <v>263</v>
      </c>
      <c r="E42" s="246"/>
      <c r="F42" s="247"/>
      <c r="G42" s="199"/>
      <c r="H42" s="199"/>
      <c r="I42" s="199"/>
      <c r="J42" s="248"/>
      <c r="K42" s="271">
        <f>SUM(K15:K41)</f>
        <v>2271332.7999999998</v>
      </c>
      <c r="L42" s="249"/>
      <c r="M42" s="271">
        <f>SUM(M15:M41)</f>
        <v>915860</v>
      </c>
      <c r="N42" s="249"/>
      <c r="O42" s="271">
        <f>SUM(O15:O41)</f>
        <v>276198</v>
      </c>
      <c r="P42" s="249"/>
      <c r="Q42" s="271">
        <f>SUM(Q15:Q41)</f>
        <v>1248649.9999999998</v>
      </c>
      <c r="R42" s="249"/>
      <c r="S42" s="271">
        <f>SUM(S15:S41)</f>
        <v>92445</v>
      </c>
      <c r="T42" s="249"/>
      <c r="U42" s="271">
        <f>SUM(U15:U41)</f>
        <v>0</v>
      </c>
      <c r="V42" s="250"/>
      <c r="W42" s="271">
        <f>SUM(W15:W41)</f>
        <v>257202</v>
      </c>
      <c r="X42" s="251"/>
      <c r="Y42" s="252"/>
      <c r="Z42" s="248"/>
      <c r="AA42" s="271">
        <f>SUM(AA15:AA41)</f>
        <v>835639.44240000006</v>
      </c>
      <c r="AB42" s="271">
        <f>SUM(AB15:AB41)</f>
        <v>5897327.2423999999</v>
      </c>
      <c r="AC42" s="207"/>
      <c r="AD42" s="207"/>
      <c r="AE42" s="207"/>
    </row>
    <row r="43" spans="1:31" x14ac:dyDescent="0.2">
      <c r="A43" s="207"/>
      <c r="B43" s="207"/>
      <c r="C43" s="207"/>
      <c r="D43" s="199"/>
      <c r="E43" s="199"/>
      <c r="F43" s="253"/>
      <c r="G43" s="199"/>
      <c r="H43" s="199"/>
      <c r="I43" s="199"/>
      <c r="J43" s="248"/>
      <c r="K43" s="248"/>
      <c r="L43" s="248"/>
      <c r="M43" s="248"/>
      <c r="N43" s="248"/>
      <c r="O43" s="248"/>
      <c r="P43" s="248"/>
      <c r="Q43" s="248"/>
      <c r="R43" s="248"/>
      <c r="S43" s="248"/>
      <c r="T43" s="248"/>
      <c r="U43" s="248"/>
      <c r="V43" s="248"/>
      <c r="W43" s="248"/>
      <c r="X43" s="250"/>
      <c r="Y43" s="248"/>
      <c r="Z43" s="251"/>
      <c r="AA43" s="252"/>
      <c r="AB43" s="250"/>
      <c r="AC43" s="250"/>
      <c r="AD43" s="207"/>
      <c r="AE43" s="207"/>
    </row>
    <row r="44" spans="1:31" ht="15" x14ac:dyDescent="0.2">
      <c r="A44" s="216" t="s">
        <v>617</v>
      </c>
      <c r="B44" s="196"/>
      <c r="C44" s="196"/>
      <c r="D44" s="216"/>
      <c r="E44" s="21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row>
    <row r="45" spans="1:31" ht="15" x14ac:dyDescent="0.2">
      <c r="A45" s="196"/>
      <c r="B45" s="196"/>
      <c r="C45" s="196"/>
      <c r="D45" s="216"/>
      <c r="E45" s="21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row>
    <row r="46" spans="1:31" ht="15" x14ac:dyDescent="0.2">
      <c r="A46" s="196"/>
      <c r="B46" s="196"/>
      <c r="C46" s="196"/>
      <c r="D46" s="216"/>
      <c r="E46" s="21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row>
    <row r="47" spans="1:31" ht="15" x14ac:dyDescent="0.2">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row>
    <row r="48" spans="1:31" ht="15.75" x14ac:dyDescent="0.25">
      <c r="A48" s="198" t="s">
        <v>618</v>
      </c>
      <c r="B48" s="196"/>
      <c r="C48" s="196"/>
      <c r="D48" s="198" t="s">
        <v>619</v>
      </c>
      <c r="E48" s="198">
        <f>GANDA</f>
        <v>0.56999999999999995</v>
      </c>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row>
    <row r="49" spans="1:31" ht="15.75" x14ac:dyDescent="0.25">
      <c r="A49" s="198"/>
      <c r="B49" s="196"/>
      <c r="C49" s="196"/>
      <c r="D49" s="198" t="s">
        <v>620</v>
      </c>
      <c r="E49" s="198">
        <f>FEERATE</f>
        <v>0</v>
      </c>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row>
    <row r="50" spans="1:31" ht="15" x14ac:dyDescent="0.2">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row>
    <row r="51" spans="1:31" ht="15" x14ac:dyDescent="0.2">
      <c r="A51" s="199"/>
      <c r="B51" s="199"/>
      <c r="C51" s="200"/>
      <c r="D51" s="199"/>
      <c r="E51" s="199"/>
      <c r="F51" s="196"/>
      <c r="G51" s="199"/>
      <c r="H51" s="199"/>
      <c r="I51" s="199"/>
      <c r="J51" s="201"/>
      <c r="K51" s="196"/>
      <c r="L51" s="196"/>
      <c r="M51" s="196"/>
      <c r="N51" s="196"/>
      <c r="O51" s="196"/>
      <c r="P51" s="196"/>
      <c r="Q51" s="196"/>
      <c r="R51" s="196"/>
      <c r="S51" s="196"/>
      <c r="T51" s="196"/>
      <c r="U51" s="196"/>
      <c r="V51" s="196"/>
      <c r="W51" s="196"/>
      <c r="X51" s="196"/>
      <c r="Y51" s="196"/>
      <c r="Z51" s="196"/>
      <c r="AA51" s="196"/>
      <c r="AB51" s="196"/>
      <c r="AC51" s="196"/>
      <c r="AD51" s="196"/>
      <c r="AE51" s="196"/>
    </row>
    <row r="52" spans="1:31" x14ac:dyDescent="0.2">
      <c r="A52" s="202"/>
      <c r="B52" s="203"/>
      <c r="C52" s="204"/>
      <c r="D52" s="205" t="s">
        <v>405</v>
      </c>
      <c r="E52" s="205" t="s">
        <v>406</v>
      </c>
      <c r="F52" s="205" t="s">
        <v>407</v>
      </c>
      <c r="G52" s="206" t="s">
        <v>408</v>
      </c>
      <c r="H52" s="205" t="s">
        <v>409</v>
      </c>
      <c r="I52" s="205" t="s">
        <v>410</v>
      </c>
      <c r="J52" s="205" t="s">
        <v>411</v>
      </c>
      <c r="K52" s="205" t="s">
        <v>412</v>
      </c>
      <c r="L52" s="205" t="s">
        <v>413</v>
      </c>
      <c r="M52" s="205" t="s">
        <v>414</v>
      </c>
      <c r="N52" s="205" t="s">
        <v>415</v>
      </c>
      <c r="O52" s="205" t="s">
        <v>416</v>
      </c>
      <c r="P52" s="205" t="s">
        <v>417</v>
      </c>
      <c r="Q52" s="205" t="s">
        <v>418</v>
      </c>
      <c r="R52" s="205" t="s">
        <v>419</v>
      </c>
      <c r="S52" s="205" t="s">
        <v>420</v>
      </c>
      <c r="T52" s="205" t="s">
        <v>421</v>
      </c>
      <c r="U52" s="205" t="s">
        <v>422</v>
      </c>
      <c r="V52" s="205" t="s">
        <v>423</v>
      </c>
      <c r="W52" s="205" t="s">
        <v>424</v>
      </c>
      <c r="X52" s="205" t="s">
        <v>425</v>
      </c>
      <c r="Y52" s="205" t="s">
        <v>426</v>
      </c>
      <c r="Z52" s="205" t="s">
        <v>427</v>
      </c>
      <c r="AA52" s="205" t="s">
        <v>428</v>
      </c>
      <c r="AB52" s="205" t="s">
        <v>429</v>
      </c>
      <c r="AC52" s="207"/>
      <c r="AD52" s="207"/>
      <c r="AE52" s="207"/>
    </row>
    <row r="53" spans="1:31" x14ac:dyDescent="0.2">
      <c r="A53" s="208"/>
      <c r="B53" s="209"/>
      <c r="C53" s="210"/>
      <c r="D53" s="211"/>
      <c r="E53" s="211"/>
      <c r="F53" s="212"/>
      <c r="G53" s="211"/>
      <c r="H53" s="211"/>
      <c r="I53" s="211"/>
      <c r="J53" s="212" t="s">
        <v>430</v>
      </c>
      <c r="K53" s="211"/>
      <c r="L53" s="213" t="s">
        <v>431</v>
      </c>
      <c r="M53" s="213"/>
      <c r="N53" s="213" t="s">
        <v>432</v>
      </c>
      <c r="O53" s="213"/>
      <c r="P53" s="213" t="s">
        <v>263</v>
      </c>
      <c r="Q53" s="213"/>
      <c r="R53" s="213" t="s">
        <v>433</v>
      </c>
      <c r="S53" s="213"/>
      <c r="T53" s="213" t="s">
        <v>434</v>
      </c>
      <c r="U53" s="213"/>
      <c r="V53" s="212" t="s">
        <v>435</v>
      </c>
      <c r="W53" s="214"/>
      <c r="X53" s="212" t="s">
        <v>436</v>
      </c>
      <c r="Y53" s="212"/>
      <c r="Z53" s="215"/>
      <c r="AA53" s="215"/>
      <c r="AB53" s="212"/>
      <c r="AC53" s="216"/>
      <c r="AD53" s="216"/>
      <c r="AE53" s="216"/>
    </row>
    <row r="54" spans="1:31" x14ac:dyDescent="0.2">
      <c r="A54" s="217"/>
      <c r="B54" s="209"/>
      <c r="C54" s="210"/>
      <c r="D54" s="213"/>
      <c r="E54" s="213"/>
      <c r="F54" s="213" t="s">
        <v>437</v>
      </c>
      <c r="G54" s="213" t="s">
        <v>437</v>
      </c>
      <c r="H54" s="213" t="s">
        <v>437</v>
      </c>
      <c r="I54" s="213" t="s">
        <v>437</v>
      </c>
      <c r="J54" s="212" t="s">
        <v>438</v>
      </c>
      <c r="K54" s="213"/>
      <c r="L54" s="213" t="s">
        <v>439</v>
      </c>
      <c r="M54" s="213" t="s">
        <v>263</v>
      </c>
      <c r="N54" s="213" t="s">
        <v>440</v>
      </c>
      <c r="O54" s="213" t="s">
        <v>263</v>
      </c>
      <c r="P54" s="213" t="s">
        <v>441</v>
      </c>
      <c r="Q54" s="213" t="s">
        <v>263</v>
      </c>
      <c r="R54" s="213" t="s">
        <v>442</v>
      </c>
      <c r="S54" s="213" t="s">
        <v>263</v>
      </c>
      <c r="T54" s="213" t="s">
        <v>439</v>
      </c>
      <c r="U54" s="213" t="s">
        <v>263</v>
      </c>
      <c r="V54" s="213" t="s">
        <v>443</v>
      </c>
      <c r="W54" s="218"/>
      <c r="X54" s="213" t="s">
        <v>444</v>
      </c>
      <c r="Y54" s="213"/>
      <c r="Z54" s="212"/>
      <c r="AA54" s="212"/>
      <c r="AB54" s="212" t="s">
        <v>263</v>
      </c>
      <c r="AC54" s="219"/>
      <c r="AD54" s="219"/>
      <c r="AE54" s="219"/>
    </row>
    <row r="55" spans="1:31" ht="15" x14ac:dyDescent="0.2">
      <c r="A55" s="213" t="s">
        <v>445</v>
      </c>
      <c r="B55" s="350" t="s">
        <v>446</v>
      </c>
      <c r="C55" s="351"/>
      <c r="D55" s="213" t="s">
        <v>447</v>
      </c>
      <c r="E55" s="213" t="s">
        <v>448</v>
      </c>
      <c r="F55" s="213" t="s">
        <v>449</v>
      </c>
      <c r="G55" s="213" t="s">
        <v>449</v>
      </c>
      <c r="H55" s="213" t="s">
        <v>449</v>
      </c>
      <c r="I55" s="213" t="s">
        <v>449</v>
      </c>
      <c r="J55" s="212" t="s">
        <v>450</v>
      </c>
      <c r="K55" s="213" t="s">
        <v>263</v>
      </c>
      <c r="L55" s="213" t="s">
        <v>444</v>
      </c>
      <c r="M55" s="213" t="s">
        <v>431</v>
      </c>
      <c r="N55" s="213" t="s">
        <v>443</v>
      </c>
      <c r="O55" s="213" t="s">
        <v>432</v>
      </c>
      <c r="P55" s="213" t="s">
        <v>451</v>
      </c>
      <c r="Q55" s="213" t="s">
        <v>441</v>
      </c>
      <c r="R55" s="213" t="s">
        <v>444</v>
      </c>
      <c r="S55" s="213" t="s">
        <v>433</v>
      </c>
      <c r="T55" s="213" t="s">
        <v>452</v>
      </c>
      <c r="U55" s="213" t="s">
        <v>434</v>
      </c>
      <c r="V55" s="213" t="s">
        <v>453</v>
      </c>
      <c r="W55" s="218" t="s">
        <v>263</v>
      </c>
      <c r="X55" s="213" t="s">
        <v>454</v>
      </c>
      <c r="Y55" s="213" t="s">
        <v>455</v>
      </c>
      <c r="Z55" s="212" t="s">
        <v>436</v>
      </c>
      <c r="AA55" s="212" t="s">
        <v>263</v>
      </c>
      <c r="AB55" s="287" t="s">
        <v>456</v>
      </c>
      <c r="AC55" s="219"/>
      <c r="AD55" s="219"/>
      <c r="AE55" s="219"/>
    </row>
    <row r="56" spans="1:31" ht="15" x14ac:dyDescent="0.2">
      <c r="A56" s="213"/>
      <c r="B56" s="221"/>
      <c r="C56" s="220"/>
      <c r="D56" s="213"/>
      <c r="E56" s="213"/>
      <c r="F56" s="213" t="s">
        <v>457</v>
      </c>
      <c r="G56" s="213" t="s">
        <v>458</v>
      </c>
      <c r="H56" s="213" t="s">
        <v>459</v>
      </c>
      <c r="I56" s="213" t="s">
        <v>460</v>
      </c>
      <c r="J56" s="212" t="s">
        <v>461</v>
      </c>
      <c r="K56" s="213" t="s">
        <v>462</v>
      </c>
      <c r="L56" s="213" t="s">
        <v>454</v>
      </c>
      <c r="M56" s="213" t="s">
        <v>439</v>
      </c>
      <c r="N56" s="213" t="s">
        <v>463</v>
      </c>
      <c r="O56" s="213" t="s">
        <v>464</v>
      </c>
      <c r="P56" s="213" t="s">
        <v>465</v>
      </c>
      <c r="Q56" s="268"/>
      <c r="R56" s="213" t="s">
        <v>466</v>
      </c>
      <c r="S56" s="213" t="s">
        <v>467</v>
      </c>
      <c r="T56" s="213" t="s">
        <v>466</v>
      </c>
      <c r="U56" s="213" t="s">
        <v>439</v>
      </c>
      <c r="V56" s="213" t="s">
        <v>463</v>
      </c>
      <c r="W56" s="218" t="s">
        <v>468</v>
      </c>
      <c r="X56" s="213" t="s">
        <v>469</v>
      </c>
      <c r="Y56" s="213" t="s">
        <v>470</v>
      </c>
      <c r="Z56" s="212" t="s">
        <v>471</v>
      </c>
      <c r="AA56" s="212" t="s">
        <v>436</v>
      </c>
      <c r="AB56" s="287" t="s">
        <v>572</v>
      </c>
      <c r="AC56" s="219"/>
      <c r="AD56" s="219"/>
      <c r="AE56" s="219"/>
    </row>
    <row r="57" spans="1:31" x14ac:dyDescent="0.2">
      <c r="A57" s="222"/>
      <c r="B57" s="352"/>
      <c r="C57" s="353"/>
      <c r="D57" s="223"/>
      <c r="E57" s="223"/>
      <c r="F57" s="223"/>
      <c r="G57" s="223"/>
      <c r="H57" s="223"/>
      <c r="I57" s="223"/>
      <c r="J57" s="223"/>
      <c r="K57" s="288" t="s">
        <v>472</v>
      </c>
      <c r="L57" s="288"/>
      <c r="M57" s="288" t="s">
        <v>473</v>
      </c>
      <c r="N57" s="288"/>
      <c r="O57" s="288" t="s">
        <v>474</v>
      </c>
      <c r="P57" s="289"/>
      <c r="Q57" s="288"/>
      <c r="R57" s="288"/>
      <c r="S57" s="288" t="s">
        <v>475</v>
      </c>
      <c r="T57" s="288"/>
      <c r="U57" s="288" t="s">
        <v>476</v>
      </c>
      <c r="V57" s="288"/>
      <c r="W57" s="288" t="s">
        <v>477</v>
      </c>
      <c r="X57" s="288"/>
      <c r="Y57" s="288"/>
      <c r="Z57" s="288" t="s">
        <v>478</v>
      </c>
      <c r="AA57" s="288" t="s">
        <v>479</v>
      </c>
      <c r="AB57" s="287" t="s">
        <v>480</v>
      </c>
      <c r="AC57" s="219"/>
      <c r="AD57" s="219"/>
      <c r="AE57" s="219" t="s">
        <v>621</v>
      </c>
    </row>
    <row r="58" spans="1:31" ht="15.75" x14ac:dyDescent="0.25">
      <c r="A58" s="224"/>
      <c r="B58" s="224"/>
      <c r="C58" s="224"/>
      <c r="D58" s="224"/>
      <c r="E58" s="224"/>
      <c r="F58" s="225"/>
      <c r="G58" s="224"/>
      <c r="H58" s="224"/>
      <c r="I58" s="224"/>
      <c r="J58" s="226"/>
      <c r="K58" s="290"/>
      <c r="L58" s="290"/>
      <c r="M58" s="290"/>
      <c r="N58" s="290"/>
      <c r="O58" s="290"/>
      <c r="P58" s="290"/>
      <c r="Q58" s="290"/>
      <c r="R58" s="290"/>
      <c r="S58" s="290"/>
      <c r="T58" s="290"/>
      <c r="U58" s="290"/>
      <c r="V58" s="291"/>
      <c r="W58" s="292"/>
      <c r="X58" s="291"/>
      <c r="Y58" s="293"/>
      <c r="Z58" s="294"/>
      <c r="AA58" s="294"/>
      <c r="AB58" s="294"/>
      <c r="AC58" s="232"/>
      <c r="AD58" s="232"/>
      <c r="AE58" s="232"/>
    </row>
    <row r="59" spans="1:31" ht="15" x14ac:dyDescent="0.2">
      <c r="A59" s="285" t="str">
        <f t="shared" ref="A59:I74" si="14">IF(ISERROR(IF(A15="","",A15)),"",IF(A15="","",A15))</f>
        <v>1</v>
      </c>
      <c r="B59" s="285" t="str">
        <f t="shared" si="14"/>
        <v>1.</v>
      </c>
      <c r="C59" s="285" t="str">
        <f t="shared" si="14"/>
        <v>hospital recruit</v>
      </c>
      <c r="D59" s="285" t="str">
        <f t="shared" si="14"/>
        <v>TBD (East/West Coast)</v>
      </c>
      <c r="E59" s="285" t="str">
        <f t="shared" si="14"/>
        <v>TBD (Midwest)</v>
      </c>
      <c r="F59" s="285">
        <f t="shared" si="14"/>
        <v>225</v>
      </c>
      <c r="G59" s="285">
        <f t="shared" si="14"/>
        <v>1</v>
      </c>
      <c r="H59" s="285">
        <f t="shared" si="14"/>
        <v>2</v>
      </c>
      <c r="I59" s="285">
        <f t="shared" si="14"/>
        <v>2</v>
      </c>
      <c r="J59" s="269">
        <f t="shared" ref="J59:J65" si="15">IF(ISERROR(IF(Budget_Pricing="Yes",IF(J15="","",J15*(1+$E$48)*(1+$E$49)*(1+$AE59)),"")),"",IF(Budget_Pricing="Yes",IF(J15="","",J15*(1+$E$48)*(1+$E$49)*(1+$AE59)),""))</f>
        <v>856.59199999999998</v>
      </c>
      <c r="K59" s="269">
        <f t="shared" ref="K59:K61" si="16">IF(ISERROR(SUM(F59*G59*J59)),0,SUM(F59*G59*J59))</f>
        <v>192733.19999999998</v>
      </c>
      <c r="L59" s="269">
        <f t="shared" ref="L59:L65" si="17">IF(ISERROR(IF(Budget_Pricing="Yes",IF(L15="","",L15*(1+$E$48)*(1+$E$49)*(1+$AE59)),"")),"",IF(Budget_Pricing="Yes",IF(L15="","",L15*(1+$E$48)*(1+$E$49)*(1+$AE59)),""))</f>
        <v>345.4</v>
      </c>
      <c r="M59" s="269">
        <f t="shared" ref="M59:M84" si="18">IF(ISERR(L59*F59*G59),0,L59*F59*G59)</f>
        <v>77715</v>
      </c>
      <c r="N59" s="269">
        <f t="shared" ref="N59:N65" si="19">IF(ISERROR(IF(Budget_Pricing="Yes",IF(N15="","",N15*(1+$E$48)*(1+$E$49)*(1+$AE59)),"")),"",IF(Budget_Pricing="Yes",IF(N15="","",N15*(1+$E$48)*(1+$E$49)*(1+$AE59)),""))</f>
        <v>122.46</v>
      </c>
      <c r="O59" s="269">
        <f t="shared" ref="O59:O84" si="20">IF(ISERR(F59*H59*N59),0,F59*H59*N59)</f>
        <v>55107</v>
      </c>
      <c r="P59" s="278">
        <f t="shared" ref="P59:P84" si="21">P15</f>
        <v>0</v>
      </c>
      <c r="Q59" s="269">
        <f t="shared" ref="Q59:R59" si="22">IF(ISERROR(IF(Budget_Pricing="Yes",IF(Q15="","",Q15*(1+$E$48)*(1+$E$49)*(1+$AE59)),"")),"",IF(Budget_Pricing="Yes",IF(Q15="","",Q15*(1+$E$48)*(1+$E$49)*(1+$AE59)),""))</f>
        <v>0</v>
      </c>
      <c r="R59" s="269">
        <f t="shared" si="22"/>
        <v>23.549999999999997</v>
      </c>
      <c r="S59" s="269">
        <f t="shared" ref="S59:S61" si="23">IF(F59="",0,F59*H59*R59)</f>
        <v>10597.499999999998</v>
      </c>
      <c r="T59" s="269">
        <f t="shared" ref="T59:T65" si="24">IF(ISERROR(IF(Budget_Pricing="Yes",IF(T15="","",T15*(1+$E$48)*(1+$E$49)*(1+$AE59)),"")),"",IF(Budget_Pricing="Yes",IF(T15="","",T15*(1+$E$48)*(1+$E$49)*(1+$AE59)),""))</f>
        <v>0</v>
      </c>
      <c r="U59" s="269">
        <f t="shared" ref="U59:U61" si="25">IF(F59="",0,F59*H59*T59)</f>
        <v>0</v>
      </c>
      <c r="V59" s="269">
        <f t="shared" ref="V59:V65" si="26">IF(ISERROR(IF(Budget_Pricing="Yes",IF(V15="","",V15*(1+$E$48)*(1+$E$49)*(1+$AE59)),"")),"",IF(Budget_Pricing="Yes",IF(V15="","",V15*(1+$E$48)*(1+$E$49)*(1+$AE59)),""))</f>
        <v>103.61999999999999</v>
      </c>
      <c r="W59" s="269">
        <f t="shared" ref="W59:W61" si="27">IF(F59="",0,F59*G59*H59*V59)</f>
        <v>46628.999999999993</v>
      </c>
      <c r="X59" s="269">
        <f t="shared" ref="X59:X65" si="28">IF(ISERROR(IF(Budget_Pricing="Yes",IF(X15="","",X15*(1+$E$48)*(1+$E$49)*(1+$AE59)),"")),"",IF(Budget_Pricing="Yes",IF(X15="","",X15*(1+$E$48)*(1+$E$49)*(1+$AE59)),""))</f>
        <v>163.27999999999997</v>
      </c>
      <c r="Y59" s="279">
        <f t="shared" ref="Y59:Y84" si="29">Y15</f>
        <v>0.1774</v>
      </c>
      <c r="Z59" s="269">
        <f t="shared" ref="Z59:Z84" si="30">IF(ISERR(X59*(1+Y59)),0,X59*(1+Y59))</f>
        <v>192.24587199999996</v>
      </c>
      <c r="AA59" s="269">
        <f t="shared" ref="AA59:AA84" si="31">IF(Z59=0,0,F59*G59*I59*Z59)</f>
        <v>86510.642399999982</v>
      </c>
      <c r="AB59" s="272">
        <f t="shared" ref="AB59:AB84" si="32">SUM(K59,M59,O59,Q59,S59,U59,W59,AA59)</f>
        <v>469292.34239999996</v>
      </c>
      <c r="AC59" s="197"/>
      <c r="AD59" s="196"/>
      <c r="AE59" s="256"/>
    </row>
    <row r="60" spans="1:31" ht="15" x14ac:dyDescent="0.2">
      <c r="A60" s="285" t="str">
        <f t="shared" si="14"/>
        <v>1</v>
      </c>
      <c r="B60" s="285" t="str">
        <f t="shared" si="14"/>
        <v>2.</v>
      </c>
      <c r="C60" s="285" t="str">
        <f t="shared" si="14"/>
        <v>AHA meeting</v>
      </c>
      <c r="D60" s="285" t="str">
        <f t="shared" si="14"/>
        <v>TBD (East/West Coast)</v>
      </c>
      <c r="E60" s="285" t="str">
        <f t="shared" si="14"/>
        <v>TBD (Midwest)</v>
      </c>
      <c r="F60" s="285">
        <f t="shared" si="14"/>
        <v>0</v>
      </c>
      <c r="G60" s="285">
        <f t="shared" si="14"/>
        <v>2</v>
      </c>
      <c r="H60" s="285">
        <f t="shared" si="14"/>
        <v>3</v>
      </c>
      <c r="I60" s="285">
        <f t="shared" si="14"/>
        <v>2</v>
      </c>
      <c r="J60" s="269">
        <f t="shared" si="15"/>
        <v>856.59199999999998</v>
      </c>
      <c r="K60" s="269">
        <f t="shared" si="16"/>
        <v>0</v>
      </c>
      <c r="L60" s="269">
        <f t="shared" si="17"/>
        <v>345.4</v>
      </c>
      <c r="M60" s="269">
        <f t="shared" si="18"/>
        <v>0</v>
      </c>
      <c r="N60" s="269">
        <f t="shared" si="19"/>
        <v>122.46</v>
      </c>
      <c r="O60" s="269">
        <f t="shared" si="20"/>
        <v>0</v>
      </c>
      <c r="P60" s="278">
        <f t="shared" si="21"/>
        <v>0</v>
      </c>
      <c r="Q60" s="269">
        <f t="shared" ref="Q60:R60" si="33">IF(ISERROR(IF(Budget_Pricing="Yes",IF(Q16="","",Q16*(1+$E$48)*(1+$E$49)*(1+$AE60)),"")),"",IF(Budget_Pricing="Yes",IF(Q16="","",Q16*(1+$E$48)*(1+$E$49)*(1+$AE60)),""))</f>
        <v>0</v>
      </c>
      <c r="R60" s="269">
        <f t="shared" si="33"/>
        <v>23.549999999999997</v>
      </c>
      <c r="S60" s="269">
        <f t="shared" si="23"/>
        <v>0</v>
      </c>
      <c r="T60" s="269">
        <f t="shared" si="24"/>
        <v>0</v>
      </c>
      <c r="U60" s="269">
        <f t="shared" si="25"/>
        <v>0</v>
      </c>
      <c r="V60" s="269">
        <f t="shared" si="26"/>
        <v>103.61999999999999</v>
      </c>
      <c r="W60" s="269">
        <f t="shared" si="27"/>
        <v>0</v>
      </c>
      <c r="X60" s="269">
        <f t="shared" si="28"/>
        <v>163.27999999999997</v>
      </c>
      <c r="Y60" s="279">
        <f t="shared" si="29"/>
        <v>0.1774</v>
      </c>
      <c r="Z60" s="269">
        <f t="shared" si="30"/>
        <v>192.24587199999996</v>
      </c>
      <c r="AA60" s="269">
        <f t="shared" si="31"/>
        <v>0</v>
      </c>
      <c r="AB60" s="272">
        <f t="shared" si="32"/>
        <v>0</v>
      </c>
      <c r="AC60" s="197"/>
      <c r="AD60" s="196"/>
      <c r="AE60" s="256"/>
    </row>
    <row r="61" spans="1:31" ht="15" x14ac:dyDescent="0.2">
      <c r="A61" s="285" t="str">
        <f t="shared" si="14"/>
        <v>1</v>
      </c>
      <c r="B61" s="285" t="str">
        <f t="shared" si="14"/>
        <v>3.</v>
      </c>
      <c r="C61" s="285" t="str">
        <f t="shared" si="14"/>
        <v>Mtg w prof Hosp org</v>
      </c>
      <c r="D61" s="285" t="str">
        <f t="shared" si="14"/>
        <v>TBD (East/West Coast)</v>
      </c>
      <c r="E61" s="285" t="str">
        <f t="shared" si="14"/>
        <v>TBD (Midwest)</v>
      </c>
      <c r="F61" s="285">
        <f t="shared" si="14"/>
        <v>3</v>
      </c>
      <c r="G61" s="285">
        <f t="shared" si="14"/>
        <v>1</v>
      </c>
      <c r="H61" s="285">
        <f t="shared" si="14"/>
        <v>3</v>
      </c>
      <c r="I61" s="285">
        <f t="shared" si="14"/>
        <v>2</v>
      </c>
      <c r="J61" s="269">
        <f t="shared" si="15"/>
        <v>856.59199999999998</v>
      </c>
      <c r="K61" s="269">
        <f t="shared" si="16"/>
        <v>2569.7759999999998</v>
      </c>
      <c r="L61" s="269">
        <f t="shared" si="17"/>
        <v>345.4</v>
      </c>
      <c r="M61" s="269">
        <f t="shared" si="18"/>
        <v>1036.1999999999998</v>
      </c>
      <c r="N61" s="269">
        <f t="shared" si="19"/>
        <v>122.46</v>
      </c>
      <c r="O61" s="269">
        <f t="shared" si="20"/>
        <v>1102.1399999999999</v>
      </c>
      <c r="P61" s="278">
        <f t="shared" si="21"/>
        <v>0</v>
      </c>
      <c r="Q61" s="269">
        <f t="shared" ref="Q61:R61" si="34">IF(ISERROR(IF(Budget_Pricing="Yes",IF(Q17="","",Q17*(1+$E$48)*(1+$E$49)*(1+$AE61)),"")),"",IF(Budget_Pricing="Yes",IF(Q17="","",Q17*(1+$E$48)*(1+$E$49)*(1+$AE61)),""))</f>
        <v>0</v>
      </c>
      <c r="R61" s="269">
        <f t="shared" si="34"/>
        <v>23.549999999999997</v>
      </c>
      <c r="S61" s="269">
        <f t="shared" si="23"/>
        <v>211.95</v>
      </c>
      <c r="T61" s="269">
        <f t="shared" si="24"/>
        <v>0</v>
      </c>
      <c r="U61" s="269">
        <f t="shared" si="25"/>
        <v>0</v>
      </c>
      <c r="V61" s="269">
        <f t="shared" si="26"/>
        <v>103.61999999999999</v>
      </c>
      <c r="W61" s="269">
        <f t="shared" si="27"/>
        <v>932.57999999999993</v>
      </c>
      <c r="X61" s="269">
        <f t="shared" si="28"/>
        <v>163.27999999999997</v>
      </c>
      <c r="Y61" s="279">
        <f t="shared" si="29"/>
        <v>0.1774</v>
      </c>
      <c r="Z61" s="269">
        <f t="shared" si="30"/>
        <v>192.24587199999996</v>
      </c>
      <c r="AA61" s="269">
        <f t="shared" si="31"/>
        <v>1153.4752319999998</v>
      </c>
      <c r="AB61" s="272">
        <f t="shared" si="32"/>
        <v>7006.1212319999995</v>
      </c>
      <c r="AC61" s="197"/>
      <c r="AD61" s="196"/>
      <c r="AE61" s="256"/>
    </row>
    <row r="62" spans="1:31" ht="15" x14ac:dyDescent="0.2">
      <c r="A62" s="285" t="str">
        <f t="shared" si="14"/>
        <v>1</v>
      </c>
      <c r="B62" s="285" t="str">
        <f t="shared" si="14"/>
        <v>4.</v>
      </c>
      <c r="C62" s="285" t="str">
        <f t="shared" si="14"/>
        <v>Mtg at indiv hosp</v>
      </c>
      <c r="D62" s="285" t="str">
        <f t="shared" si="14"/>
        <v>TBD (East/West Coast)</v>
      </c>
      <c r="E62" s="285" t="str">
        <f t="shared" si="14"/>
        <v>TBD (Midwest)</v>
      </c>
      <c r="F62" s="285">
        <f t="shared" si="14"/>
        <v>1000</v>
      </c>
      <c r="G62" s="285">
        <f t="shared" si="14"/>
        <v>1</v>
      </c>
      <c r="H62" s="285">
        <f t="shared" si="14"/>
        <v>1</v>
      </c>
      <c r="I62" s="285">
        <f t="shared" si="14"/>
        <v>1</v>
      </c>
      <c r="J62" s="269">
        <f t="shared" si="15"/>
        <v>856.59199999999998</v>
      </c>
      <c r="K62" s="269">
        <f t="shared" ref="K62:K84" si="35">IF(ISERROR(SUM(F62*G62*J62)),0,SUM(F62*G62*J62))</f>
        <v>856592</v>
      </c>
      <c r="L62" s="269">
        <f t="shared" si="17"/>
        <v>345.4</v>
      </c>
      <c r="M62" s="269">
        <f t="shared" si="18"/>
        <v>345400</v>
      </c>
      <c r="N62" s="269">
        <f t="shared" si="19"/>
        <v>122.46</v>
      </c>
      <c r="O62" s="269">
        <f t="shared" si="20"/>
        <v>122460</v>
      </c>
      <c r="P62" s="278">
        <f t="shared" si="21"/>
        <v>0</v>
      </c>
      <c r="Q62" s="269">
        <f t="shared" ref="Q62:R62" si="36">IF(ISERROR(IF(Budget_Pricing="Yes",IF(Q18="","",Q18*(1+$E$48)*(1+$E$49)*(1+$AE62)),"")),"",IF(Budget_Pricing="Yes",IF(Q18="","",Q18*(1+$E$48)*(1+$E$49)*(1+$AE62)),""))</f>
        <v>0</v>
      </c>
      <c r="R62" s="269">
        <f t="shared" si="36"/>
        <v>23.549999999999997</v>
      </c>
      <c r="S62" s="269">
        <f>IF(F62="",0,F62*H62*R62)</f>
        <v>23549.999999999996</v>
      </c>
      <c r="T62" s="269">
        <f t="shared" si="24"/>
        <v>0</v>
      </c>
      <c r="U62" s="269">
        <f>IF(F62="",0,F62*H62*T62)</f>
        <v>0</v>
      </c>
      <c r="V62" s="269">
        <f t="shared" si="26"/>
        <v>103.61999999999999</v>
      </c>
      <c r="W62" s="269">
        <f>IF(F62="",0,F62*G62*H62*V62)</f>
        <v>103619.99999999999</v>
      </c>
      <c r="X62" s="269">
        <f t="shared" si="28"/>
        <v>163.27999999999997</v>
      </c>
      <c r="Y62" s="279">
        <f t="shared" si="29"/>
        <v>0.1774</v>
      </c>
      <c r="Z62" s="269">
        <f t="shared" si="30"/>
        <v>192.24587199999996</v>
      </c>
      <c r="AA62" s="269">
        <f t="shared" si="31"/>
        <v>192245.87199999997</v>
      </c>
      <c r="AB62" s="272">
        <f t="shared" si="32"/>
        <v>1643867.872</v>
      </c>
      <c r="AC62" s="197"/>
      <c r="AD62" s="196"/>
      <c r="AE62" s="256"/>
    </row>
    <row r="63" spans="1:31" ht="15" x14ac:dyDescent="0.2">
      <c r="A63" s="285" t="str">
        <f t="shared" si="14"/>
        <v>2</v>
      </c>
      <c r="B63" s="285" t="str">
        <f t="shared" si="14"/>
        <v>5.</v>
      </c>
      <c r="C63" s="285" t="str">
        <f t="shared" si="14"/>
        <v>practic recruit</v>
      </c>
      <c r="D63" s="285" t="str">
        <f t="shared" si="14"/>
        <v>TBD (East/West Coast)</v>
      </c>
      <c r="E63" s="285" t="str">
        <f t="shared" si="14"/>
        <v>TBD (Midwest)</v>
      </c>
      <c r="F63" s="285">
        <f t="shared" si="14"/>
        <v>488</v>
      </c>
      <c r="G63" s="285">
        <f t="shared" si="14"/>
        <v>1</v>
      </c>
      <c r="H63" s="285">
        <f t="shared" si="14"/>
        <v>2</v>
      </c>
      <c r="I63" s="285">
        <f t="shared" si="14"/>
        <v>2</v>
      </c>
      <c r="J63" s="269">
        <f t="shared" si="15"/>
        <v>856.59199999999998</v>
      </c>
      <c r="K63" s="269">
        <f t="shared" si="35"/>
        <v>418016.89600000001</v>
      </c>
      <c r="L63" s="269">
        <f t="shared" si="17"/>
        <v>345.4</v>
      </c>
      <c r="M63" s="269">
        <f t="shared" si="18"/>
        <v>168555.19999999998</v>
      </c>
      <c r="N63" s="269">
        <f t="shared" si="19"/>
        <v>122.46</v>
      </c>
      <c r="O63" s="269">
        <f t="shared" si="20"/>
        <v>119520.95999999999</v>
      </c>
      <c r="P63" s="278">
        <f t="shared" si="21"/>
        <v>0</v>
      </c>
      <c r="Q63" s="269">
        <f t="shared" ref="Q63:R63" si="37">IF(ISERROR(IF(Budget_Pricing="Yes",IF(Q19="","",Q19*(1+$E$48)*(1+$E$49)*(1+$AE63)),"")),"",IF(Budget_Pricing="Yes",IF(Q19="","",Q19*(1+$E$48)*(1+$E$49)*(1+$AE63)),""))</f>
        <v>0</v>
      </c>
      <c r="R63" s="269">
        <f t="shared" si="37"/>
        <v>23.549999999999997</v>
      </c>
      <c r="S63" s="269">
        <f t="shared" ref="S63:S84" si="38">IF(F63="",0,F63*H63*R63)</f>
        <v>22984.799999999996</v>
      </c>
      <c r="T63" s="269">
        <f t="shared" si="24"/>
        <v>0</v>
      </c>
      <c r="U63" s="269">
        <f t="shared" ref="U63:U84" si="39">IF(F63="",0,F63*H63*T63)</f>
        <v>0</v>
      </c>
      <c r="V63" s="269">
        <f t="shared" si="26"/>
        <v>103.61999999999999</v>
      </c>
      <c r="W63" s="269">
        <f t="shared" ref="W63:W84" si="40">IF(F63="",0,F63*G63*H63*V63)</f>
        <v>101133.12</v>
      </c>
      <c r="X63" s="269">
        <f t="shared" si="28"/>
        <v>163.27999999999997</v>
      </c>
      <c r="Y63" s="279">
        <f t="shared" si="29"/>
        <v>0.1774</v>
      </c>
      <c r="Z63" s="269">
        <f t="shared" si="30"/>
        <v>192.24587199999996</v>
      </c>
      <c r="AA63" s="269">
        <f t="shared" si="31"/>
        <v>187631.97107199996</v>
      </c>
      <c r="AB63" s="272">
        <f t="shared" si="32"/>
        <v>1017842.947072</v>
      </c>
      <c r="AC63" s="197"/>
      <c r="AD63" s="196"/>
      <c r="AE63" s="256"/>
    </row>
    <row r="64" spans="1:31" ht="15" x14ac:dyDescent="0.2">
      <c r="A64" s="285" t="str">
        <f t="shared" si="14"/>
        <v>2</v>
      </c>
      <c r="B64" s="285" t="str">
        <f t="shared" si="14"/>
        <v>6.</v>
      </c>
      <c r="C64" s="285" t="str">
        <f t="shared" si="14"/>
        <v>Mtg w prof Dr. org</v>
      </c>
      <c r="D64" s="285" t="str">
        <f t="shared" si="14"/>
        <v>TBD (East/West Coast)</v>
      </c>
      <c r="E64" s="285" t="str">
        <f t="shared" si="14"/>
        <v>TBD (Midwest)</v>
      </c>
      <c r="F64" s="285">
        <f t="shared" si="14"/>
        <v>0</v>
      </c>
      <c r="G64" s="285">
        <f t="shared" si="14"/>
        <v>2</v>
      </c>
      <c r="H64" s="285">
        <f t="shared" si="14"/>
        <v>3</v>
      </c>
      <c r="I64" s="285">
        <f t="shared" si="14"/>
        <v>2</v>
      </c>
      <c r="J64" s="269">
        <f t="shared" si="15"/>
        <v>856.59199999999998</v>
      </c>
      <c r="K64" s="269">
        <f t="shared" si="35"/>
        <v>0</v>
      </c>
      <c r="L64" s="269">
        <f t="shared" si="17"/>
        <v>345.4</v>
      </c>
      <c r="M64" s="269">
        <f t="shared" si="18"/>
        <v>0</v>
      </c>
      <c r="N64" s="269">
        <f t="shared" si="19"/>
        <v>122.46</v>
      </c>
      <c r="O64" s="269">
        <f t="shared" si="20"/>
        <v>0</v>
      </c>
      <c r="P64" s="278">
        <f t="shared" si="21"/>
        <v>0</v>
      </c>
      <c r="Q64" s="269">
        <f t="shared" ref="Q64:R65" si="41">IF(ISERROR(IF(Budget_Pricing="Yes",IF(Q20="","",Q20*(1+$E$48)*(1+$E$49)*(1+$AE64)),"")),"",IF(Budget_Pricing="Yes",IF(Q20="","",Q20*(1+$E$48)*(1+$E$49)*(1+$AE64)),""))</f>
        <v>0</v>
      </c>
      <c r="R64" s="269">
        <f t="shared" si="41"/>
        <v>23.549999999999997</v>
      </c>
      <c r="S64" s="269">
        <f t="shared" si="38"/>
        <v>0</v>
      </c>
      <c r="T64" s="269">
        <f t="shared" si="24"/>
        <v>0</v>
      </c>
      <c r="U64" s="269">
        <f t="shared" si="39"/>
        <v>0</v>
      </c>
      <c r="V64" s="269">
        <f t="shared" si="26"/>
        <v>103.61999999999999</v>
      </c>
      <c r="W64" s="269">
        <f t="shared" si="40"/>
        <v>0</v>
      </c>
      <c r="X64" s="269">
        <f t="shared" si="28"/>
        <v>163.27999999999997</v>
      </c>
      <c r="Y64" s="279">
        <f t="shared" si="29"/>
        <v>0.1774</v>
      </c>
      <c r="Z64" s="269">
        <f t="shared" si="30"/>
        <v>192.24587199999996</v>
      </c>
      <c r="AA64" s="269">
        <f t="shared" si="31"/>
        <v>0</v>
      </c>
      <c r="AB64" s="272">
        <f t="shared" si="32"/>
        <v>0</v>
      </c>
      <c r="AC64" s="197"/>
      <c r="AD64" s="196"/>
      <c r="AE64" s="256"/>
    </row>
    <row r="65" spans="1:31" ht="15" x14ac:dyDescent="0.2">
      <c r="A65" s="285" t="str">
        <f t="shared" si="14"/>
        <v>2</v>
      </c>
      <c r="B65" s="285" t="str">
        <f t="shared" si="14"/>
        <v>7.</v>
      </c>
      <c r="C65" s="285" t="str">
        <f t="shared" si="14"/>
        <v>Mtg with network of practices</v>
      </c>
      <c r="D65" s="285" t="str">
        <f t="shared" si="14"/>
        <v>TBD (East/West Coast)</v>
      </c>
      <c r="E65" s="285" t="str">
        <f t="shared" si="14"/>
        <v>TBD (Midwest)</v>
      </c>
      <c r="F65" s="285">
        <f t="shared" si="14"/>
        <v>30</v>
      </c>
      <c r="G65" s="285">
        <f t="shared" si="14"/>
        <v>2</v>
      </c>
      <c r="H65" s="285">
        <f t="shared" si="14"/>
        <v>1</v>
      </c>
      <c r="I65" s="285">
        <f t="shared" si="14"/>
        <v>1</v>
      </c>
      <c r="J65" s="269">
        <f t="shared" si="15"/>
        <v>856.59199999999998</v>
      </c>
      <c r="K65" s="269">
        <f t="shared" ref="K65" si="42">IF(ISERROR(SUM(F65*G65*J65)),0,SUM(F65*G65*J65))</f>
        <v>51395.519999999997</v>
      </c>
      <c r="L65" s="269">
        <f t="shared" si="17"/>
        <v>345.4</v>
      </c>
      <c r="M65" s="269">
        <f t="shared" si="18"/>
        <v>20724</v>
      </c>
      <c r="N65" s="269">
        <f t="shared" si="19"/>
        <v>122.46</v>
      </c>
      <c r="O65" s="269">
        <f t="shared" si="20"/>
        <v>3673.7999999999997</v>
      </c>
      <c r="P65" s="278">
        <f t="shared" si="21"/>
        <v>0</v>
      </c>
      <c r="Q65" s="269">
        <f t="shared" si="41"/>
        <v>0</v>
      </c>
      <c r="R65" s="269">
        <f t="shared" si="41"/>
        <v>23.549999999999997</v>
      </c>
      <c r="S65" s="269">
        <f t="shared" si="38"/>
        <v>706.49999999999989</v>
      </c>
      <c r="T65" s="269">
        <f t="shared" si="24"/>
        <v>0</v>
      </c>
      <c r="U65" s="269">
        <f t="shared" si="39"/>
        <v>0</v>
      </c>
      <c r="V65" s="269">
        <f t="shared" si="26"/>
        <v>103.61999999999999</v>
      </c>
      <c r="W65" s="269">
        <f t="shared" si="40"/>
        <v>6217.2</v>
      </c>
      <c r="X65" s="269">
        <f t="shared" si="28"/>
        <v>163.27999999999997</v>
      </c>
      <c r="Y65" s="279">
        <f t="shared" si="29"/>
        <v>0.1774</v>
      </c>
      <c r="Z65" s="269">
        <f t="shared" si="30"/>
        <v>192.24587199999996</v>
      </c>
      <c r="AA65" s="269">
        <f t="shared" si="31"/>
        <v>11534.752319999998</v>
      </c>
      <c r="AB65" s="272">
        <f t="shared" si="32"/>
        <v>94251.772319999989</v>
      </c>
      <c r="AC65" s="197"/>
      <c r="AD65" s="196"/>
      <c r="AE65" s="256"/>
    </row>
    <row r="66" spans="1:31" ht="15" x14ac:dyDescent="0.2">
      <c r="A66" s="285" t="str">
        <f t="shared" si="14"/>
        <v>2</v>
      </c>
      <c r="B66" s="285" t="str">
        <f t="shared" si="14"/>
        <v>8.</v>
      </c>
      <c r="C66" s="285" t="str">
        <f t="shared" si="14"/>
        <v>Mtg at indiv providers</v>
      </c>
      <c r="D66" s="285" t="str">
        <f t="shared" si="14"/>
        <v>TBD (East/West Coast)</v>
      </c>
      <c r="E66" s="285" t="str">
        <f t="shared" si="14"/>
        <v>TBD (Midwest)</v>
      </c>
      <c r="F66" s="285">
        <f t="shared" si="14"/>
        <v>750</v>
      </c>
      <c r="G66" s="285">
        <f t="shared" si="14"/>
        <v>1</v>
      </c>
      <c r="H66" s="285">
        <f t="shared" si="14"/>
        <v>1</v>
      </c>
      <c r="I66" s="285">
        <f t="shared" si="14"/>
        <v>1</v>
      </c>
      <c r="J66" s="269">
        <f t="shared" ref="J66:J84" si="43">IF(ISERROR(IF(Budget_Pricing="Yes",IF(J22="","",J22*(1+$E$48)*(1+$E$49)*(1+$AE66)),"")),"",IF(Budget_Pricing="Yes",IF(J22="","",J22*(1+$E$48)*(1+$E$49)*(1+$AE66)),""))</f>
        <v>856.59199999999998</v>
      </c>
      <c r="K66" s="269">
        <f t="shared" si="35"/>
        <v>642444</v>
      </c>
      <c r="L66" s="269">
        <f t="shared" ref="L66:L84" si="44">IF(ISERROR(IF(Budget_Pricing="Yes",IF(L22="","",L22*(1+$E$48)*(1+$E$49)*(1+$AE66)),"")),"",IF(Budget_Pricing="Yes",IF(L22="","",L22*(1+$E$48)*(1+$E$49)*(1+$AE66)),""))</f>
        <v>345.4</v>
      </c>
      <c r="M66" s="269">
        <f t="shared" si="18"/>
        <v>259049.99999999997</v>
      </c>
      <c r="N66" s="269">
        <f t="shared" ref="N66:N84" si="45">IF(ISERROR(IF(Budget_Pricing="Yes",IF(N22="","",N22*(1+$E$48)*(1+$E$49)*(1+$AE66)),"")),"",IF(Budget_Pricing="Yes",IF(N22="","",N22*(1+$E$48)*(1+$E$49)*(1+$AE66)),""))</f>
        <v>122.46</v>
      </c>
      <c r="O66" s="269">
        <f t="shared" si="20"/>
        <v>91845</v>
      </c>
      <c r="P66" s="278">
        <f t="shared" si="21"/>
        <v>0</v>
      </c>
      <c r="Q66" s="269">
        <f t="shared" ref="Q66:R66" si="46">IF(ISERROR(IF(Budget_Pricing="Yes",IF(Q22="","",Q22*(1+$E$48)*(1+$E$49)*(1+$AE66)),"")),"",IF(Budget_Pricing="Yes",IF(Q22="","",Q22*(1+$E$48)*(1+$E$49)*(1+$AE66)),""))</f>
        <v>0</v>
      </c>
      <c r="R66" s="269">
        <f t="shared" si="46"/>
        <v>23.549999999999997</v>
      </c>
      <c r="S66" s="269">
        <f t="shared" si="38"/>
        <v>17662.499999999996</v>
      </c>
      <c r="T66" s="269">
        <f t="shared" ref="T66:T84" si="47">IF(ISERROR(IF(Budget_Pricing="Yes",IF(T22="","",T22*(1+$E$48)*(1+$E$49)*(1+$AE66)),"")),"",IF(Budget_Pricing="Yes",IF(T22="","",T22*(1+$E$48)*(1+$E$49)*(1+$AE66)),""))</f>
        <v>0</v>
      </c>
      <c r="U66" s="269">
        <f t="shared" si="39"/>
        <v>0</v>
      </c>
      <c r="V66" s="269">
        <f t="shared" ref="V66:V84" si="48">IF(ISERROR(IF(Budget_Pricing="Yes",IF(V22="","",V22*(1+$E$48)*(1+$E$49)*(1+$AE66)),"")),"",IF(Budget_Pricing="Yes",IF(V22="","",V22*(1+$E$48)*(1+$E$49)*(1+$AE66)),""))</f>
        <v>103.61999999999999</v>
      </c>
      <c r="W66" s="269">
        <f t="shared" si="40"/>
        <v>77715</v>
      </c>
      <c r="X66" s="269">
        <f t="shared" ref="X66:X84" si="49">IF(ISERROR(IF(Budget_Pricing="Yes",IF(X22="","",X22*(1+$E$48)*(1+$E$49)*(1+$AE66)),"")),"",IF(Budget_Pricing="Yes",IF(X22="","",X22*(1+$E$48)*(1+$E$49)*(1+$AE66)),""))</f>
        <v>163.27999999999997</v>
      </c>
      <c r="Y66" s="279">
        <f t="shared" si="29"/>
        <v>0.1774</v>
      </c>
      <c r="Z66" s="269">
        <f t="shared" si="30"/>
        <v>192.24587199999996</v>
      </c>
      <c r="AA66" s="269">
        <f t="shared" si="31"/>
        <v>144184.40399999998</v>
      </c>
      <c r="AB66" s="272">
        <f t="shared" si="32"/>
        <v>1232900.9040000001</v>
      </c>
      <c r="AC66" s="197"/>
      <c r="AD66" s="196"/>
      <c r="AE66" s="256"/>
    </row>
    <row r="67" spans="1:31" ht="15" x14ac:dyDescent="0.2">
      <c r="A67" s="285" t="str">
        <f t="shared" si="14"/>
        <v>4</v>
      </c>
      <c r="B67" s="285" t="str">
        <f t="shared" si="14"/>
        <v>9.</v>
      </c>
      <c r="C67" s="285" t="str">
        <f t="shared" si="14"/>
        <v>FINT training yr 1</v>
      </c>
      <c r="D67" s="285" t="str">
        <f t="shared" si="14"/>
        <v>TBD (East/West Coast)</v>
      </c>
      <c r="E67" s="285" t="str">
        <f t="shared" si="14"/>
        <v>TBD (Midwest)</v>
      </c>
      <c r="F67" s="285">
        <f t="shared" si="14"/>
        <v>12</v>
      </c>
      <c r="G67" s="285">
        <f t="shared" si="14"/>
        <v>2</v>
      </c>
      <c r="H67" s="285">
        <f t="shared" si="14"/>
        <v>2</v>
      </c>
      <c r="I67" s="285">
        <f t="shared" si="14"/>
        <v>2</v>
      </c>
      <c r="J67" s="269">
        <f t="shared" si="43"/>
        <v>856.59199999999998</v>
      </c>
      <c r="K67" s="269">
        <f t="shared" si="35"/>
        <v>20558.207999999999</v>
      </c>
      <c r="L67" s="269">
        <f t="shared" si="44"/>
        <v>345.4</v>
      </c>
      <c r="M67" s="269">
        <f t="shared" si="18"/>
        <v>8289.5999999999985</v>
      </c>
      <c r="N67" s="269">
        <f t="shared" si="45"/>
        <v>122.46</v>
      </c>
      <c r="O67" s="269">
        <f t="shared" si="20"/>
        <v>2939.04</v>
      </c>
      <c r="P67" s="278">
        <f t="shared" si="21"/>
        <v>0</v>
      </c>
      <c r="Q67" s="269">
        <f t="shared" ref="Q67:R67" si="50">IF(ISERROR(IF(Budget_Pricing="Yes",IF(Q23="","",Q23*(1+$E$48)*(1+$E$49)*(1+$AE67)),"")),"",IF(Budget_Pricing="Yes",IF(Q23="","",Q23*(1+$E$48)*(1+$E$49)*(1+$AE67)),""))</f>
        <v>0</v>
      </c>
      <c r="R67" s="269">
        <f t="shared" si="50"/>
        <v>23.549999999999997</v>
      </c>
      <c r="S67" s="269">
        <f t="shared" si="38"/>
        <v>565.19999999999993</v>
      </c>
      <c r="T67" s="269">
        <f t="shared" si="47"/>
        <v>0</v>
      </c>
      <c r="U67" s="269">
        <f t="shared" si="39"/>
        <v>0</v>
      </c>
      <c r="V67" s="269">
        <f t="shared" si="48"/>
        <v>103.61999999999999</v>
      </c>
      <c r="W67" s="269">
        <f t="shared" si="40"/>
        <v>4973.7599999999993</v>
      </c>
      <c r="X67" s="269">
        <f t="shared" si="49"/>
        <v>163.27999999999997</v>
      </c>
      <c r="Y67" s="279">
        <f t="shared" si="29"/>
        <v>0.1774</v>
      </c>
      <c r="Z67" s="269">
        <f t="shared" si="30"/>
        <v>192.24587199999996</v>
      </c>
      <c r="AA67" s="269">
        <f t="shared" si="31"/>
        <v>9227.8018559999982</v>
      </c>
      <c r="AB67" s="272">
        <f t="shared" si="32"/>
        <v>46553.609855999995</v>
      </c>
      <c r="AC67" s="197"/>
      <c r="AD67" s="196"/>
      <c r="AE67" s="256"/>
    </row>
    <row r="68" spans="1:31" ht="15" x14ac:dyDescent="0.2">
      <c r="A68" s="285" t="str">
        <f t="shared" si="14"/>
        <v>4</v>
      </c>
      <c r="B68" s="285" t="str">
        <f t="shared" si="14"/>
        <v>10.</v>
      </c>
      <c r="C68" s="285" t="str">
        <f t="shared" si="14"/>
        <v>FINT Travel for hosp recruit and training</v>
      </c>
      <c r="D68" s="285" t="str">
        <f t="shared" si="14"/>
        <v>Local</v>
      </c>
      <c r="E68" s="285" t="str">
        <f t="shared" si="14"/>
        <v>Local</v>
      </c>
      <c r="F68" s="285">
        <f t="shared" si="14"/>
        <v>22100</v>
      </c>
      <c r="G68" s="285">
        <f t="shared" si="14"/>
        <v>1</v>
      </c>
      <c r="H68" s="285">
        <f t="shared" si="14"/>
        <v>1</v>
      </c>
      <c r="I68" s="285">
        <f t="shared" si="14"/>
        <v>0</v>
      </c>
      <c r="J68" s="269">
        <f t="shared" si="43"/>
        <v>0</v>
      </c>
      <c r="K68" s="269">
        <f t="shared" si="35"/>
        <v>0</v>
      </c>
      <c r="L68" s="269">
        <f t="shared" si="44"/>
        <v>0</v>
      </c>
      <c r="M68" s="269">
        <f t="shared" si="18"/>
        <v>0</v>
      </c>
      <c r="N68" s="269">
        <f t="shared" si="45"/>
        <v>0</v>
      </c>
      <c r="O68" s="269">
        <f t="shared" si="20"/>
        <v>0</v>
      </c>
      <c r="P68" s="278">
        <f t="shared" si="21"/>
        <v>50</v>
      </c>
      <c r="Q68" s="269">
        <f t="shared" ref="Q68:R68" si="51">IF(ISERROR(IF(Budget_Pricing="Yes",IF(Q24="","",Q24*(1+$E$48)*(1+$E$49)*(1+$AE68)),"")),"",IF(Budget_Pricing="Yes",IF(Q24="","",Q24*(1+$E$48)*(1+$E$49)*(1+$AE68)),""))</f>
        <v>980190.24999999977</v>
      </c>
      <c r="R68" s="269">
        <f t="shared" si="51"/>
        <v>0</v>
      </c>
      <c r="S68" s="269">
        <f t="shared" si="38"/>
        <v>0</v>
      </c>
      <c r="T68" s="269">
        <f t="shared" si="47"/>
        <v>0</v>
      </c>
      <c r="U68" s="269">
        <f t="shared" si="39"/>
        <v>0</v>
      </c>
      <c r="V68" s="269">
        <f t="shared" si="48"/>
        <v>0</v>
      </c>
      <c r="W68" s="269">
        <f t="shared" si="40"/>
        <v>0</v>
      </c>
      <c r="X68" s="269">
        <f t="shared" si="49"/>
        <v>0</v>
      </c>
      <c r="Y68" s="279">
        <f t="shared" si="29"/>
        <v>0</v>
      </c>
      <c r="Z68" s="269">
        <f t="shared" si="30"/>
        <v>0</v>
      </c>
      <c r="AA68" s="269">
        <f t="shared" si="31"/>
        <v>0</v>
      </c>
      <c r="AB68" s="272">
        <f t="shared" si="32"/>
        <v>980190.24999999977</v>
      </c>
      <c r="AC68" s="197"/>
      <c r="AD68" s="196"/>
      <c r="AE68" s="256"/>
    </row>
    <row r="69" spans="1:31" ht="15" x14ac:dyDescent="0.2">
      <c r="A69" s="285" t="str">
        <f t="shared" si="14"/>
        <v>4</v>
      </c>
      <c r="B69" s="285" t="str">
        <f t="shared" si="14"/>
        <v>11.</v>
      </c>
      <c r="C69" s="285" t="str">
        <f t="shared" si="14"/>
        <v>Attrition Training</v>
      </c>
      <c r="D69" s="285" t="str">
        <f t="shared" si="14"/>
        <v>TBD (Midwest)</v>
      </c>
      <c r="E69" s="285" t="str">
        <f t="shared" si="14"/>
        <v>TBD (East/West Coast)</v>
      </c>
      <c r="F69" s="285">
        <f t="shared" si="14"/>
        <v>675</v>
      </c>
      <c r="G69" s="285">
        <f t="shared" si="14"/>
        <v>1</v>
      </c>
      <c r="H69" s="285">
        <f t="shared" si="14"/>
        <v>2</v>
      </c>
      <c r="I69" s="285">
        <f t="shared" si="14"/>
        <v>2</v>
      </c>
      <c r="J69" s="269">
        <f t="shared" si="43"/>
        <v>856.59199999999998</v>
      </c>
      <c r="K69" s="269">
        <f t="shared" si="35"/>
        <v>578199.6</v>
      </c>
      <c r="L69" s="269">
        <f t="shared" si="44"/>
        <v>345.4</v>
      </c>
      <c r="M69" s="269">
        <f t="shared" si="18"/>
        <v>233144.99999999997</v>
      </c>
      <c r="N69" s="269">
        <f t="shared" si="45"/>
        <v>0</v>
      </c>
      <c r="O69" s="269">
        <f t="shared" si="20"/>
        <v>0</v>
      </c>
      <c r="P69" s="278">
        <f t="shared" si="21"/>
        <v>0</v>
      </c>
      <c r="Q69" s="269">
        <f t="shared" ref="Q69:R69" si="52">IF(ISERROR(IF(Budget_Pricing="Yes",IF(Q25="","",Q25*(1+$E$48)*(1+$E$49)*(1+$AE69)),"")),"",IF(Budget_Pricing="Yes",IF(Q25="","",Q25*(1+$E$48)*(1+$E$49)*(1+$AE69)),""))</f>
        <v>0</v>
      </c>
      <c r="R69" s="269">
        <f t="shared" si="52"/>
        <v>23.549999999999997</v>
      </c>
      <c r="S69" s="269">
        <f t="shared" si="38"/>
        <v>31792.499999999996</v>
      </c>
      <c r="T69" s="269">
        <f t="shared" si="47"/>
        <v>0</v>
      </c>
      <c r="U69" s="269">
        <f t="shared" si="39"/>
        <v>0</v>
      </c>
      <c r="V69" s="269">
        <f t="shared" si="48"/>
        <v>0</v>
      </c>
      <c r="W69" s="269">
        <f t="shared" si="40"/>
        <v>0</v>
      </c>
      <c r="X69" s="269">
        <f t="shared" si="49"/>
        <v>186.82999999999998</v>
      </c>
      <c r="Y69" s="279">
        <f t="shared" si="29"/>
        <v>0.15</v>
      </c>
      <c r="Z69" s="269">
        <f t="shared" si="30"/>
        <v>214.85449999999997</v>
      </c>
      <c r="AA69" s="269">
        <f t="shared" si="31"/>
        <v>290053.57499999995</v>
      </c>
      <c r="AB69" s="272">
        <f t="shared" si="32"/>
        <v>1133190.6749999998</v>
      </c>
      <c r="AC69" s="197"/>
      <c r="AD69" s="196"/>
      <c r="AE69" s="256"/>
    </row>
    <row r="70" spans="1:31" ht="15" x14ac:dyDescent="0.2">
      <c r="A70" s="285" t="str">
        <f t="shared" si="14"/>
        <v>5</v>
      </c>
      <c r="B70" s="285" t="str">
        <f t="shared" si="14"/>
        <v>12.</v>
      </c>
      <c r="C70" s="285" t="str">
        <f t="shared" si="14"/>
        <v>FINT training yr 1</v>
      </c>
      <c r="D70" s="285" t="str">
        <f t="shared" si="14"/>
        <v>TBD (East/West Coast)</v>
      </c>
      <c r="E70" s="285" t="str">
        <f t="shared" si="14"/>
        <v>St. Louis</v>
      </c>
      <c r="F70" s="285">
        <f t="shared" si="14"/>
        <v>151</v>
      </c>
      <c r="G70" s="285">
        <f t="shared" si="14"/>
        <v>2</v>
      </c>
      <c r="H70" s="285">
        <f t="shared" si="14"/>
        <v>2</v>
      </c>
      <c r="I70" s="285">
        <f t="shared" si="14"/>
        <v>2</v>
      </c>
      <c r="J70" s="269">
        <f t="shared" si="43"/>
        <v>856.59199999999998</v>
      </c>
      <c r="K70" s="269">
        <f t="shared" si="35"/>
        <v>258690.78399999999</v>
      </c>
      <c r="L70" s="269">
        <f t="shared" si="44"/>
        <v>345.4</v>
      </c>
      <c r="M70" s="269">
        <f t="shared" si="18"/>
        <v>104310.79999999999</v>
      </c>
      <c r="N70" s="269">
        <f t="shared" si="45"/>
        <v>122.46</v>
      </c>
      <c r="O70" s="269">
        <f t="shared" si="20"/>
        <v>36982.92</v>
      </c>
      <c r="P70" s="278">
        <f t="shared" si="21"/>
        <v>0</v>
      </c>
      <c r="Q70" s="269">
        <f t="shared" ref="Q70:R70" si="53">IF(ISERROR(IF(Budget_Pricing="Yes",IF(Q26="","",Q26*(1+$E$48)*(1+$E$49)*(1+$AE70)),"")),"",IF(Budget_Pricing="Yes",IF(Q26="","",Q26*(1+$E$48)*(1+$E$49)*(1+$AE70)),""))</f>
        <v>0</v>
      </c>
      <c r="R70" s="269">
        <f t="shared" si="53"/>
        <v>23.549999999999997</v>
      </c>
      <c r="S70" s="269">
        <f t="shared" si="38"/>
        <v>7112.0999999999995</v>
      </c>
      <c r="T70" s="269">
        <f t="shared" si="47"/>
        <v>0</v>
      </c>
      <c r="U70" s="269">
        <f t="shared" si="39"/>
        <v>0</v>
      </c>
      <c r="V70" s="269">
        <f t="shared" si="48"/>
        <v>103.61999999999999</v>
      </c>
      <c r="W70" s="269">
        <f t="shared" si="40"/>
        <v>62586.479999999996</v>
      </c>
      <c r="X70" s="269">
        <f t="shared" si="49"/>
        <v>163.27999999999997</v>
      </c>
      <c r="Y70" s="279">
        <f t="shared" si="29"/>
        <v>0.1774</v>
      </c>
      <c r="Z70" s="269">
        <f t="shared" si="30"/>
        <v>192.24587199999996</v>
      </c>
      <c r="AA70" s="269">
        <f t="shared" si="31"/>
        <v>116116.50668799998</v>
      </c>
      <c r="AB70" s="272">
        <f t="shared" si="32"/>
        <v>585799.59068799985</v>
      </c>
      <c r="AC70" s="197"/>
      <c r="AD70" s="196"/>
      <c r="AE70" s="256"/>
    </row>
    <row r="71" spans="1:31" ht="15" x14ac:dyDescent="0.2">
      <c r="A71" s="285" t="str">
        <f t="shared" si="14"/>
        <v>5</v>
      </c>
      <c r="B71" s="285" t="str">
        <f t="shared" si="14"/>
        <v>13.</v>
      </c>
      <c r="C71" s="285" t="str">
        <f t="shared" si="14"/>
        <v>FINT Travel for hosp recruit and training</v>
      </c>
      <c r="D71" s="285" t="str">
        <f t="shared" si="14"/>
        <v>Local</v>
      </c>
      <c r="E71" s="285" t="str">
        <f t="shared" si="14"/>
        <v>Local</v>
      </c>
      <c r="F71" s="285">
        <f t="shared" si="14"/>
        <v>22100</v>
      </c>
      <c r="G71" s="285">
        <f t="shared" si="14"/>
        <v>1</v>
      </c>
      <c r="H71" s="285">
        <f t="shared" si="14"/>
        <v>1</v>
      </c>
      <c r="I71" s="285">
        <f t="shared" si="14"/>
        <v>0</v>
      </c>
      <c r="J71" s="269">
        <f t="shared" si="43"/>
        <v>0</v>
      </c>
      <c r="K71" s="269">
        <f t="shared" si="35"/>
        <v>0</v>
      </c>
      <c r="L71" s="269">
        <f t="shared" si="44"/>
        <v>0</v>
      </c>
      <c r="M71" s="269">
        <f t="shared" si="18"/>
        <v>0</v>
      </c>
      <c r="N71" s="269">
        <f t="shared" si="45"/>
        <v>0</v>
      </c>
      <c r="O71" s="269">
        <f t="shared" si="20"/>
        <v>0</v>
      </c>
      <c r="P71" s="278">
        <f t="shared" si="21"/>
        <v>50</v>
      </c>
      <c r="Q71" s="269">
        <f t="shared" ref="Q71:R71" si="54">IF(ISERROR(IF(Budget_Pricing="Yes",IF(Q27="","",Q27*(1+$E$48)*(1+$E$49)*(1+$AE71)),"")),"",IF(Budget_Pricing="Yes",IF(Q27="","",Q27*(1+$E$48)*(1+$E$49)*(1+$AE71)),""))</f>
        <v>980190.24999999977</v>
      </c>
      <c r="R71" s="269">
        <f t="shared" si="54"/>
        <v>0</v>
      </c>
      <c r="S71" s="269">
        <f t="shared" si="38"/>
        <v>0</v>
      </c>
      <c r="T71" s="269">
        <f t="shared" si="47"/>
        <v>0</v>
      </c>
      <c r="U71" s="269">
        <f t="shared" si="39"/>
        <v>0</v>
      </c>
      <c r="V71" s="269">
        <f t="shared" si="48"/>
        <v>0</v>
      </c>
      <c r="W71" s="269">
        <f t="shared" si="40"/>
        <v>0</v>
      </c>
      <c r="X71" s="269">
        <f t="shared" si="49"/>
        <v>0</v>
      </c>
      <c r="Y71" s="279">
        <f t="shared" si="29"/>
        <v>0</v>
      </c>
      <c r="Z71" s="269">
        <f t="shared" si="30"/>
        <v>0</v>
      </c>
      <c r="AA71" s="269">
        <f t="shared" si="31"/>
        <v>0</v>
      </c>
      <c r="AB71" s="272">
        <f t="shared" si="32"/>
        <v>980190.24999999977</v>
      </c>
      <c r="AC71" s="197"/>
      <c r="AD71" s="196"/>
      <c r="AE71" s="256"/>
    </row>
    <row r="72" spans="1:31" ht="15" x14ac:dyDescent="0.2">
      <c r="A72" s="285" t="str">
        <f t="shared" si="14"/>
        <v>5</v>
      </c>
      <c r="B72" s="285" t="str">
        <f t="shared" si="14"/>
        <v>14.</v>
      </c>
      <c r="C72" s="285" t="str">
        <f t="shared" si="14"/>
        <v>Attrition Training</v>
      </c>
      <c r="D72" s="285" t="str">
        <f t="shared" si="14"/>
        <v>TBD (Midwest)</v>
      </c>
      <c r="E72" s="285" t="str">
        <f t="shared" si="14"/>
        <v>TBD (East/West Coast)</v>
      </c>
      <c r="F72" s="285">
        <f t="shared" si="14"/>
        <v>636</v>
      </c>
      <c r="G72" s="285">
        <f t="shared" si="14"/>
        <v>1</v>
      </c>
      <c r="H72" s="285">
        <f t="shared" si="14"/>
        <v>2</v>
      </c>
      <c r="I72" s="285">
        <f t="shared" si="14"/>
        <v>2</v>
      </c>
      <c r="J72" s="269">
        <f t="shared" si="43"/>
        <v>856.59199999999998</v>
      </c>
      <c r="K72" s="269">
        <f t="shared" si="35"/>
        <v>544792.51199999999</v>
      </c>
      <c r="L72" s="269">
        <f t="shared" si="44"/>
        <v>345.4</v>
      </c>
      <c r="M72" s="269">
        <f t="shared" si="18"/>
        <v>219674.4</v>
      </c>
      <c r="N72" s="269">
        <f t="shared" si="45"/>
        <v>0</v>
      </c>
      <c r="O72" s="269">
        <f t="shared" si="20"/>
        <v>0</v>
      </c>
      <c r="P72" s="278">
        <f t="shared" si="21"/>
        <v>0</v>
      </c>
      <c r="Q72" s="269">
        <f t="shared" ref="Q72:R72" si="55">IF(ISERROR(IF(Budget_Pricing="Yes",IF(Q28="","",Q28*(1+$E$48)*(1+$E$49)*(1+$AE72)),"")),"",IF(Budget_Pricing="Yes",IF(Q28="","",Q28*(1+$E$48)*(1+$E$49)*(1+$AE72)),""))</f>
        <v>0</v>
      </c>
      <c r="R72" s="269">
        <f t="shared" si="55"/>
        <v>23.549999999999997</v>
      </c>
      <c r="S72" s="269">
        <f t="shared" si="38"/>
        <v>29955.599999999995</v>
      </c>
      <c r="T72" s="269">
        <f t="shared" si="47"/>
        <v>0</v>
      </c>
      <c r="U72" s="269">
        <f t="shared" si="39"/>
        <v>0</v>
      </c>
      <c r="V72" s="269">
        <f t="shared" si="48"/>
        <v>0</v>
      </c>
      <c r="W72" s="269">
        <f t="shared" si="40"/>
        <v>0</v>
      </c>
      <c r="X72" s="269">
        <f t="shared" si="49"/>
        <v>186.82999999999998</v>
      </c>
      <c r="Y72" s="279">
        <f t="shared" si="29"/>
        <v>0.15</v>
      </c>
      <c r="Z72" s="269">
        <f t="shared" si="30"/>
        <v>214.85449999999997</v>
      </c>
      <c r="AA72" s="269">
        <f t="shared" si="31"/>
        <v>273294.92399999994</v>
      </c>
      <c r="AB72" s="272">
        <f t="shared" si="32"/>
        <v>1067717.436</v>
      </c>
      <c r="AC72" s="197"/>
      <c r="AD72" s="196"/>
      <c r="AE72" s="256"/>
    </row>
    <row r="73" spans="1:31" ht="15" hidden="1" x14ac:dyDescent="0.2">
      <c r="A73" s="285" t="str">
        <f t="shared" si="14"/>
        <v/>
      </c>
      <c r="B73" s="285" t="str">
        <f t="shared" si="14"/>
        <v>14.</v>
      </c>
      <c r="C73" s="285" t="str">
        <f t="shared" si="14"/>
        <v/>
      </c>
      <c r="D73" s="285" t="str">
        <f t="shared" si="14"/>
        <v/>
      </c>
      <c r="E73" s="285" t="str">
        <f t="shared" si="14"/>
        <v/>
      </c>
      <c r="F73" s="285" t="str">
        <f t="shared" si="14"/>
        <v/>
      </c>
      <c r="G73" s="285" t="str">
        <f t="shared" si="14"/>
        <v/>
      </c>
      <c r="H73" s="285" t="str">
        <f t="shared" si="14"/>
        <v/>
      </c>
      <c r="I73" s="285" t="str">
        <f t="shared" si="14"/>
        <v/>
      </c>
      <c r="J73" s="269">
        <f t="shared" si="43"/>
        <v>0</v>
      </c>
      <c r="K73" s="269">
        <f t="shared" si="35"/>
        <v>0</v>
      </c>
      <c r="L73" s="269">
        <f t="shared" si="44"/>
        <v>0</v>
      </c>
      <c r="M73" s="269">
        <f t="shared" si="18"/>
        <v>0</v>
      </c>
      <c r="N73" s="269">
        <f t="shared" si="45"/>
        <v>0</v>
      </c>
      <c r="O73" s="269">
        <f t="shared" si="20"/>
        <v>0</v>
      </c>
      <c r="P73" s="278">
        <f t="shared" si="21"/>
        <v>0</v>
      </c>
      <c r="Q73" s="269">
        <f t="shared" ref="Q73:R73" si="56">IF(ISERROR(IF(Budget_Pricing="Yes",IF(Q29="","",Q29*(1+$E$48)*(1+$E$49)*(1+$AE73)),"")),"",IF(Budget_Pricing="Yes",IF(Q29="","",Q29*(1+$E$48)*(1+$E$49)*(1+$AE73)),""))</f>
        <v>0</v>
      </c>
      <c r="R73" s="269">
        <f t="shared" si="56"/>
        <v>0</v>
      </c>
      <c r="S73" s="269">
        <f t="shared" si="38"/>
        <v>0</v>
      </c>
      <c r="T73" s="269">
        <f t="shared" si="47"/>
        <v>0</v>
      </c>
      <c r="U73" s="269">
        <f t="shared" si="39"/>
        <v>0</v>
      </c>
      <c r="V73" s="269">
        <f t="shared" si="48"/>
        <v>0</v>
      </c>
      <c r="W73" s="269">
        <f t="shared" si="40"/>
        <v>0</v>
      </c>
      <c r="X73" s="269">
        <f t="shared" si="49"/>
        <v>0</v>
      </c>
      <c r="Y73" s="279">
        <f t="shared" si="29"/>
        <v>0</v>
      </c>
      <c r="Z73" s="269">
        <f t="shared" si="30"/>
        <v>0</v>
      </c>
      <c r="AA73" s="269">
        <f t="shared" si="31"/>
        <v>0</v>
      </c>
      <c r="AB73" s="272">
        <f t="shared" si="32"/>
        <v>0</v>
      </c>
      <c r="AC73" s="197"/>
      <c r="AD73" s="196"/>
      <c r="AE73" s="256"/>
    </row>
    <row r="74" spans="1:31" ht="15" hidden="1" x14ac:dyDescent="0.2">
      <c r="A74" s="285" t="str">
        <f t="shared" si="14"/>
        <v/>
      </c>
      <c r="B74" s="285" t="str">
        <f t="shared" si="14"/>
        <v>15.</v>
      </c>
      <c r="C74" s="285" t="str">
        <f t="shared" si="14"/>
        <v/>
      </c>
      <c r="D74" s="285" t="str">
        <f t="shared" si="14"/>
        <v/>
      </c>
      <c r="E74" s="285" t="str">
        <f t="shared" si="14"/>
        <v/>
      </c>
      <c r="F74" s="285" t="str">
        <f t="shared" si="14"/>
        <v/>
      </c>
      <c r="G74" s="285" t="str">
        <f t="shared" si="14"/>
        <v/>
      </c>
      <c r="H74" s="285" t="str">
        <f t="shared" si="14"/>
        <v/>
      </c>
      <c r="I74" s="285" t="str">
        <f t="shared" si="14"/>
        <v/>
      </c>
      <c r="J74" s="269">
        <f t="shared" si="43"/>
        <v>0</v>
      </c>
      <c r="K74" s="269">
        <f t="shared" si="35"/>
        <v>0</v>
      </c>
      <c r="L74" s="269">
        <f t="shared" si="44"/>
        <v>0</v>
      </c>
      <c r="M74" s="269">
        <f t="shared" si="18"/>
        <v>0</v>
      </c>
      <c r="N74" s="269">
        <f t="shared" si="45"/>
        <v>0</v>
      </c>
      <c r="O74" s="269">
        <f t="shared" si="20"/>
        <v>0</v>
      </c>
      <c r="P74" s="278">
        <f t="shared" si="21"/>
        <v>0</v>
      </c>
      <c r="Q74" s="269">
        <f t="shared" ref="Q74:R74" si="57">IF(ISERROR(IF(Budget_Pricing="Yes",IF(Q30="","",Q30*(1+$E$48)*(1+$E$49)*(1+$AE74)),"")),"",IF(Budget_Pricing="Yes",IF(Q30="","",Q30*(1+$E$48)*(1+$E$49)*(1+$AE74)),""))</f>
        <v>0</v>
      </c>
      <c r="R74" s="269">
        <f t="shared" si="57"/>
        <v>0</v>
      </c>
      <c r="S74" s="269">
        <f t="shared" si="38"/>
        <v>0</v>
      </c>
      <c r="T74" s="269">
        <f t="shared" si="47"/>
        <v>0</v>
      </c>
      <c r="U74" s="269">
        <f t="shared" si="39"/>
        <v>0</v>
      </c>
      <c r="V74" s="269">
        <f t="shared" si="48"/>
        <v>0</v>
      </c>
      <c r="W74" s="269">
        <f t="shared" si="40"/>
        <v>0</v>
      </c>
      <c r="X74" s="269">
        <f t="shared" si="49"/>
        <v>0</v>
      </c>
      <c r="Y74" s="279">
        <f t="shared" si="29"/>
        <v>0</v>
      </c>
      <c r="Z74" s="269">
        <f t="shared" si="30"/>
        <v>0</v>
      </c>
      <c r="AA74" s="269">
        <f t="shared" si="31"/>
        <v>0</v>
      </c>
      <c r="AB74" s="272">
        <f t="shared" si="32"/>
        <v>0</v>
      </c>
      <c r="AC74" s="197"/>
      <c r="AD74" s="196"/>
      <c r="AE74" s="256"/>
    </row>
    <row r="75" spans="1:31" ht="15" hidden="1" x14ac:dyDescent="0.2">
      <c r="A75" s="285" t="str">
        <f t="shared" ref="A75:I84" si="58">IF(ISERROR(IF(A31="","",A31)),"",IF(A31="","",A31))</f>
        <v/>
      </c>
      <c r="B75" s="285" t="str">
        <f t="shared" si="58"/>
        <v>16.</v>
      </c>
      <c r="C75" s="285" t="str">
        <f t="shared" si="58"/>
        <v/>
      </c>
      <c r="D75" s="285" t="str">
        <f t="shared" si="58"/>
        <v/>
      </c>
      <c r="E75" s="285" t="str">
        <f t="shared" si="58"/>
        <v/>
      </c>
      <c r="F75" s="285" t="str">
        <f t="shared" si="58"/>
        <v/>
      </c>
      <c r="G75" s="285" t="str">
        <f t="shared" si="58"/>
        <v/>
      </c>
      <c r="H75" s="285" t="str">
        <f t="shared" si="58"/>
        <v/>
      </c>
      <c r="I75" s="285" t="str">
        <f t="shared" si="58"/>
        <v/>
      </c>
      <c r="J75" s="269">
        <f t="shared" si="43"/>
        <v>0</v>
      </c>
      <c r="K75" s="269">
        <f t="shared" si="35"/>
        <v>0</v>
      </c>
      <c r="L75" s="269">
        <f t="shared" si="44"/>
        <v>0</v>
      </c>
      <c r="M75" s="269">
        <f t="shared" si="18"/>
        <v>0</v>
      </c>
      <c r="N75" s="269">
        <f t="shared" si="45"/>
        <v>0</v>
      </c>
      <c r="O75" s="269">
        <f t="shared" si="20"/>
        <v>0</v>
      </c>
      <c r="P75" s="278">
        <f t="shared" si="21"/>
        <v>0</v>
      </c>
      <c r="Q75" s="269">
        <f t="shared" ref="Q75:R75" si="59">IF(ISERROR(IF(Budget_Pricing="Yes",IF(Q31="","",Q31*(1+$E$48)*(1+$E$49)*(1+$AE75)),"")),"",IF(Budget_Pricing="Yes",IF(Q31="","",Q31*(1+$E$48)*(1+$E$49)*(1+$AE75)),""))</f>
        <v>0</v>
      </c>
      <c r="R75" s="269">
        <f t="shared" si="59"/>
        <v>0</v>
      </c>
      <c r="S75" s="269">
        <f t="shared" si="38"/>
        <v>0</v>
      </c>
      <c r="T75" s="269">
        <f t="shared" si="47"/>
        <v>0</v>
      </c>
      <c r="U75" s="269">
        <f t="shared" si="39"/>
        <v>0</v>
      </c>
      <c r="V75" s="269">
        <f t="shared" si="48"/>
        <v>0</v>
      </c>
      <c r="W75" s="269">
        <f t="shared" si="40"/>
        <v>0</v>
      </c>
      <c r="X75" s="269">
        <f t="shared" si="49"/>
        <v>0</v>
      </c>
      <c r="Y75" s="279">
        <f t="shared" si="29"/>
        <v>0</v>
      </c>
      <c r="Z75" s="269">
        <f t="shared" si="30"/>
        <v>0</v>
      </c>
      <c r="AA75" s="269">
        <f t="shared" si="31"/>
        <v>0</v>
      </c>
      <c r="AB75" s="272">
        <f t="shared" si="32"/>
        <v>0</v>
      </c>
      <c r="AC75" s="197"/>
      <c r="AD75" s="196"/>
      <c r="AE75" s="256"/>
    </row>
    <row r="76" spans="1:31" ht="15" hidden="1" x14ac:dyDescent="0.2">
      <c r="A76" s="285" t="str">
        <f t="shared" si="58"/>
        <v/>
      </c>
      <c r="B76" s="285" t="str">
        <f t="shared" si="58"/>
        <v>17.</v>
      </c>
      <c r="C76" s="285" t="str">
        <f t="shared" si="58"/>
        <v/>
      </c>
      <c r="D76" s="285" t="str">
        <f t="shared" si="58"/>
        <v/>
      </c>
      <c r="E76" s="285" t="str">
        <f t="shared" si="58"/>
        <v/>
      </c>
      <c r="F76" s="285" t="str">
        <f t="shared" si="58"/>
        <v/>
      </c>
      <c r="G76" s="285" t="str">
        <f t="shared" si="58"/>
        <v/>
      </c>
      <c r="H76" s="285" t="str">
        <f t="shared" si="58"/>
        <v/>
      </c>
      <c r="I76" s="285" t="str">
        <f t="shared" si="58"/>
        <v/>
      </c>
      <c r="J76" s="269">
        <f t="shared" si="43"/>
        <v>0</v>
      </c>
      <c r="K76" s="269">
        <f t="shared" si="35"/>
        <v>0</v>
      </c>
      <c r="L76" s="269">
        <f t="shared" si="44"/>
        <v>0</v>
      </c>
      <c r="M76" s="269">
        <f t="shared" si="18"/>
        <v>0</v>
      </c>
      <c r="N76" s="269">
        <f t="shared" si="45"/>
        <v>0</v>
      </c>
      <c r="O76" s="269">
        <f t="shared" si="20"/>
        <v>0</v>
      </c>
      <c r="P76" s="278">
        <f t="shared" si="21"/>
        <v>0</v>
      </c>
      <c r="Q76" s="269">
        <f t="shared" ref="Q76:R76" si="60">IF(ISERROR(IF(Budget_Pricing="Yes",IF(Q32="","",Q32*(1+$E$48)*(1+$E$49)*(1+$AE76)),"")),"",IF(Budget_Pricing="Yes",IF(Q32="","",Q32*(1+$E$48)*(1+$E$49)*(1+$AE76)),""))</f>
        <v>0</v>
      </c>
      <c r="R76" s="269">
        <f t="shared" si="60"/>
        <v>0</v>
      </c>
      <c r="S76" s="269">
        <f t="shared" si="38"/>
        <v>0</v>
      </c>
      <c r="T76" s="269">
        <f t="shared" si="47"/>
        <v>0</v>
      </c>
      <c r="U76" s="269">
        <f t="shared" si="39"/>
        <v>0</v>
      </c>
      <c r="V76" s="269">
        <f t="shared" si="48"/>
        <v>0</v>
      </c>
      <c r="W76" s="269">
        <f t="shared" si="40"/>
        <v>0</v>
      </c>
      <c r="X76" s="269">
        <f t="shared" si="49"/>
        <v>0</v>
      </c>
      <c r="Y76" s="279">
        <f t="shared" si="29"/>
        <v>0</v>
      </c>
      <c r="Z76" s="269">
        <f t="shared" si="30"/>
        <v>0</v>
      </c>
      <c r="AA76" s="269">
        <f t="shared" si="31"/>
        <v>0</v>
      </c>
      <c r="AB76" s="272">
        <f t="shared" si="32"/>
        <v>0</v>
      </c>
      <c r="AC76" s="197"/>
      <c r="AD76" s="196"/>
      <c r="AE76" s="256"/>
    </row>
    <row r="77" spans="1:31" ht="15" hidden="1" x14ac:dyDescent="0.2">
      <c r="A77" s="285" t="str">
        <f t="shared" si="58"/>
        <v/>
      </c>
      <c r="B77" s="285" t="str">
        <f t="shared" si="58"/>
        <v>18.</v>
      </c>
      <c r="C77" s="285" t="str">
        <f t="shared" si="58"/>
        <v/>
      </c>
      <c r="D77" s="285" t="str">
        <f t="shared" si="58"/>
        <v/>
      </c>
      <c r="E77" s="285" t="str">
        <f t="shared" si="58"/>
        <v/>
      </c>
      <c r="F77" s="285" t="str">
        <f t="shared" si="58"/>
        <v/>
      </c>
      <c r="G77" s="285" t="str">
        <f t="shared" si="58"/>
        <v/>
      </c>
      <c r="H77" s="285" t="str">
        <f t="shared" si="58"/>
        <v/>
      </c>
      <c r="I77" s="285" t="str">
        <f t="shared" si="58"/>
        <v/>
      </c>
      <c r="J77" s="269">
        <f t="shared" si="43"/>
        <v>0</v>
      </c>
      <c r="K77" s="269">
        <f t="shared" si="35"/>
        <v>0</v>
      </c>
      <c r="L77" s="269">
        <f t="shared" si="44"/>
        <v>0</v>
      </c>
      <c r="M77" s="269">
        <f t="shared" si="18"/>
        <v>0</v>
      </c>
      <c r="N77" s="269">
        <f t="shared" si="45"/>
        <v>0</v>
      </c>
      <c r="O77" s="269">
        <f t="shared" si="20"/>
        <v>0</v>
      </c>
      <c r="P77" s="278">
        <f t="shared" si="21"/>
        <v>0</v>
      </c>
      <c r="Q77" s="269">
        <f t="shared" ref="Q77:R77" si="61">IF(ISERROR(IF(Budget_Pricing="Yes",IF(Q33="","",Q33*(1+$E$48)*(1+$E$49)*(1+$AE77)),"")),"",IF(Budget_Pricing="Yes",IF(Q33="","",Q33*(1+$E$48)*(1+$E$49)*(1+$AE77)),""))</f>
        <v>0</v>
      </c>
      <c r="R77" s="269">
        <f t="shared" si="61"/>
        <v>0</v>
      </c>
      <c r="S77" s="269">
        <f t="shared" si="38"/>
        <v>0</v>
      </c>
      <c r="T77" s="269">
        <f t="shared" si="47"/>
        <v>0</v>
      </c>
      <c r="U77" s="269">
        <f t="shared" si="39"/>
        <v>0</v>
      </c>
      <c r="V77" s="269">
        <f t="shared" si="48"/>
        <v>0</v>
      </c>
      <c r="W77" s="269">
        <f t="shared" si="40"/>
        <v>0</v>
      </c>
      <c r="X77" s="269">
        <f t="shared" si="49"/>
        <v>0</v>
      </c>
      <c r="Y77" s="279">
        <f t="shared" si="29"/>
        <v>0</v>
      </c>
      <c r="Z77" s="269">
        <f t="shared" si="30"/>
        <v>0</v>
      </c>
      <c r="AA77" s="269">
        <f t="shared" si="31"/>
        <v>0</v>
      </c>
      <c r="AB77" s="272">
        <f t="shared" si="32"/>
        <v>0</v>
      </c>
      <c r="AC77" s="197"/>
      <c r="AD77" s="196"/>
      <c r="AE77" s="256"/>
    </row>
    <row r="78" spans="1:31" ht="15" hidden="1" x14ac:dyDescent="0.2">
      <c r="A78" s="285" t="str">
        <f t="shared" si="58"/>
        <v/>
      </c>
      <c r="B78" s="285" t="str">
        <f t="shared" si="58"/>
        <v>19.</v>
      </c>
      <c r="C78" s="285" t="str">
        <f t="shared" si="58"/>
        <v/>
      </c>
      <c r="D78" s="285" t="str">
        <f t="shared" si="58"/>
        <v/>
      </c>
      <c r="E78" s="285" t="str">
        <f t="shared" si="58"/>
        <v/>
      </c>
      <c r="F78" s="285" t="str">
        <f t="shared" si="58"/>
        <v/>
      </c>
      <c r="G78" s="285" t="str">
        <f t="shared" si="58"/>
        <v/>
      </c>
      <c r="H78" s="285" t="str">
        <f t="shared" si="58"/>
        <v/>
      </c>
      <c r="I78" s="285" t="str">
        <f t="shared" si="58"/>
        <v/>
      </c>
      <c r="J78" s="269">
        <f t="shared" si="43"/>
        <v>0</v>
      </c>
      <c r="K78" s="269">
        <f t="shared" si="35"/>
        <v>0</v>
      </c>
      <c r="L78" s="269">
        <f t="shared" si="44"/>
        <v>0</v>
      </c>
      <c r="M78" s="269">
        <f t="shared" si="18"/>
        <v>0</v>
      </c>
      <c r="N78" s="269">
        <f t="shared" si="45"/>
        <v>0</v>
      </c>
      <c r="O78" s="269">
        <f t="shared" si="20"/>
        <v>0</v>
      </c>
      <c r="P78" s="278">
        <f t="shared" si="21"/>
        <v>0</v>
      </c>
      <c r="Q78" s="269">
        <f t="shared" ref="Q78:R78" si="62">IF(ISERROR(IF(Budget_Pricing="Yes",IF(Q34="","",Q34*(1+$E$48)*(1+$E$49)*(1+$AE78)),"")),"",IF(Budget_Pricing="Yes",IF(Q34="","",Q34*(1+$E$48)*(1+$E$49)*(1+$AE78)),""))</f>
        <v>0</v>
      </c>
      <c r="R78" s="269">
        <f t="shared" si="62"/>
        <v>0</v>
      </c>
      <c r="S78" s="269">
        <f t="shared" si="38"/>
        <v>0</v>
      </c>
      <c r="T78" s="269">
        <f t="shared" si="47"/>
        <v>0</v>
      </c>
      <c r="U78" s="269">
        <f t="shared" si="39"/>
        <v>0</v>
      </c>
      <c r="V78" s="269">
        <f t="shared" si="48"/>
        <v>0</v>
      </c>
      <c r="W78" s="269">
        <f t="shared" si="40"/>
        <v>0</v>
      </c>
      <c r="X78" s="269">
        <f t="shared" si="49"/>
        <v>0</v>
      </c>
      <c r="Y78" s="279">
        <f t="shared" si="29"/>
        <v>0</v>
      </c>
      <c r="Z78" s="269">
        <f t="shared" si="30"/>
        <v>0</v>
      </c>
      <c r="AA78" s="269">
        <f t="shared" si="31"/>
        <v>0</v>
      </c>
      <c r="AB78" s="272">
        <f t="shared" si="32"/>
        <v>0</v>
      </c>
      <c r="AC78" s="197"/>
      <c r="AD78" s="196"/>
      <c r="AE78" s="256"/>
    </row>
    <row r="79" spans="1:31" ht="15" hidden="1" x14ac:dyDescent="0.2">
      <c r="A79" s="285" t="str">
        <f t="shared" si="58"/>
        <v/>
      </c>
      <c r="B79" s="285" t="str">
        <f t="shared" si="58"/>
        <v>20.</v>
      </c>
      <c r="C79" s="285" t="str">
        <f t="shared" si="58"/>
        <v/>
      </c>
      <c r="D79" s="285" t="str">
        <f t="shared" si="58"/>
        <v/>
      </c>
      <c r="E79" s="285" t="str">
        <f t="shared" si="58"/>
        <v/>
      </c>
      <c r="F79" s="285" t="str">
        <f t="shared" si="58"/>
        <v/>
      </c>
      <c r="G79" s="285" t="str">
        <f t="shared" si="58"/>
        <v/>
      </c>
      <c r="H79" s="285" t="str">
        <f t="shared" si="58"/>
        <v/>
      </c>
      <c r="I79" s="285" t="str">
        <f t="shared" si="58"/>
        <v/>
      </c>
      <c r="J79" s="269">
        <f t="shared" si="43"/>
        <v>0</v>
      </c>
      <c r="K79" s="269">
        <f t="shared" si="35"/>
        <v>0</v>
      </c>
      <c r="L79" s="269">
        <f t="shared" si="44"/>
        <v>0</v>
      </c>
      <c r="M79" s="269">
        <f t="shared" si="18"/>
        <v>0</v>
      </c>
      <c r="N79" s="269">
        <f t="shared" si="45"/>
        <v>0</v>
      </c>
      <c r="O79" s="269">
        <f t="shared" si="20"/>
        <v>0</v>
      </c>
      <c r="P79" s="278">
        <f t="shared" si="21"/>
        <v>0</v>
      </c>
      <c r="Q79" s="269">
        <f t="shared" ref="Q79:R79" si="63">IF(ISERROR(IF(Budget_Pricing="Yes",IF(Q35="","",Q35*(1+$E$48)*(1+$E$49)*(1+$AE79)),"")),"",IF(Budget_Pricing="Yes",IF(Q35="","",Q35*(1+$E$48)*(1+$E$49)*(1+$AE79)),""))</f>
        <v>0</v>
      </c>
      <c r="R79" s="269">
        <f t="shared" si="63"/>
        <v>0</v>
      </c>
      <c r="S79" s="269">
        <f t="shared" si="38"/>
        <v>0</v>
      </c>
      <c r="T79" s="269">
        <f t="shared" si="47"/>
        <v>0</v>
      </c>
      <c r="U79" s="269">
        <f t="shared" si="39"/>
        <v>0</v>
      </c>
      <c r="V79" s="269">
        <f t="shared" si="48"/>
        <v>0</v>
      </c>
      <c r="W79" s="269">
        <f t="shared" si="40"/>
        <v>0</v>
      </c>
      <c r="X79" s="269">
        <f t="shared" si="49"/>
        <v>0</v>
      </c>
      <c r="Y79" s="279">
        <f t="shared" si="29"/>
        <v>0</v>
      </c>
      <c r="Z79" s="269">
        <f t="shared" si="30"/>
        <v>0</v>
      </c>
      <c r="AA79" s="269">
        <f t="shared" si="31"/>
        <v>0</v>
      </c>
      <c r="AB79" s="272">
        <f t="shared" si="32"/>
        <v>0</v>
      </c>
      <c r="AC79" s="197"/>
      <c r="AD79" s="196"/>
      <c r="AE79" s="256"/>
    </row>
    <row r="80" spans="1:31" ht="15" hidden="1" x14ac:dyDescent="0.2">
      <c r="A80" s="285" t="str">
        <f t="shared" si="58"/>
        <v/>
      </c>
      <c r="B80" s="285" t="str">
        <f t="shared" si="58"/>
        <v>21.</v>
      </c>
      <c r="C80" s="285" t="str">
        <f t="shared" si="58"/>
        <v/>
      </c>
      <c r="D80" s="285" t="str">
        <f t="shared" si="58"/>
        <v/>
      </c>
      <c r="E80" s="285" t="str">
        <f t="shared" si="58"/>
        <v/>
      </c>
      <c r="F80" s="285" t="str">
        <f t="shared" si="58"/>
        <v/>
      </c>
      <c r="G80" s="285" t="str">
        <f t="shared" si="58"/>
        <v/>
      </c>
      <c r="H80" s="285" t="str">
        <f t="shared" si="58"/>
        <v/>
      </c>
      <c r="I80" s="285" t="str">
        <f t="shared" si="58"/>
        <v/>
      </c>
      <c r="J80" s="269">
        <f t="shared" si="43"/>
        <v>0</v>
      </c>
      <c r="K80" s="269">
        <f t="shared" si="35"/>
        <v>0</v>
      </c>
      <c r="L80" s="269">
        <f t="shared" si="44"/>
        <v>0</v>
      </c>
      <c r="M80" s="269">
        <f t="shared" si="18"/>
        <v>0</v>
      </c>
      <c r="N80" s="269">
        <f t="shared" si="45"/>
        <v>0</v>
      </c>
      <c r="O80" s="269">
        <f t="shared" si="20"/>
        <v>0</v>
      </c>
      <c r="P80" s="278">
        <f t="shared" si="21"/>
        <v>0</v>
      </c>
      <c r="Q80" s="269">
        <f t="shared" ref="Q80:R80" si="64">IF(ISERROR(IF(Budget_Pricing="Yes",IF(Q36="","",Q36*(1+$E$48)*(1+$E$49)*(1+$AE80)),"")),"",IF(Budget_Pricing="Yes",IF(Q36="","",Q36*(1+$E$48)*(1+$E$49)*(1+$AE80)),""))</f>
        <v>0</v>
      </c>
      <c r="R80" s="269">
        <f t="shared" si="64"/>
        <v>0</v>
      </c>
      <c r="S80" s="269">
        <f t="shared" si="38"/>
        <v>0</v>
      </c>
      <c r="T80" s="269">
        <f t="shared" si="47"/>
        <v>0</v>
      </c>
      <c r="U80" s="269">
        <f t="shared" si="39"/>
        <v>0</v>
      </c>
      <c r="V80" s="269">
        <f t="shared" si="48"/>
        <v>0</v>
      </c>
      <c r="W80" s="269">
        <f t="shared" si="40"/>
        <v>0</v>
      </c>
      <c r="X80" s="269">
        <f t="shared" si="49"/>
        <v>0</v>
      </c>
      <c r="Y80" s="279">
        <f t="shared" si="29"/>
        <v>0</v>
      </c>
      <c r="Z80" s="269">
        <f t="shared" si="30"/>
        <v>0</v>
      </c>
      <c r="AA80" s="269">
        <f t="shared" si="31"/>
        <v>0</v>
      </c>
      <c r="AB80" s="272">
        <f t="shared" si="32"/>
        <v>0</v>
      </c>
      <c r="AC80" s="197"/>
      <c r="AD80" s="196"/>
      <c r="AE80" s="256"/>
    </row>
    <row r="81" spans="1:31" ht="15" hidden="1" x14ac:dyDescent="0.2">
      <c r="A81" s="285" t="str">
        <f t="shared" si="58"/>
        <v/>
      </c>
      <c r="B81" s="285" t="str">
        <f t="shared" si="58"/>
        <v>22.</v>
      </c>
      <c r="C81" s="285" t="str">
        <f t="shared" si="58"/>
        <v/>
      </c>
      <c r="D81" s="285" t="str">
        <f t="shared" si="58"/>
        <v/>
      </c>
      <c r="E81" s="285" t="str">
        <f t="shared" si="58"/>
        <v/>
      </c>
      <c r="F81" s="285" t="str">
        <f t="shared" si="58"/>
        <v/>
      </c>
      <c r="G81" s="285" t="str">
        <f t="shared" si="58"/>
        <v/>
      </c>
      <c r="H81" s="285" t="str">
        <f t="shared" si="58"/>
        <v/>
      </c>
      <c r="I81" s="285" t="str">
        <f t="shared" si="58"/>
        <v/>
      </c>
      <c r="J81" s="269">
        <f t="shared" si="43"/>
        <v>0</v>
      </c>
      <c r="K81" s="269">
        <f t="shared" si="35"/>
        <v>0</v>
      </c>
      <c r="L81" s="269">
        <f t="shared" si="44"/>
        <v>0</v>
      </c>
      <c r="M81" s="269">
        <f t="shared" si="18"/>
        <v>0</v>
      </c>
      <c r="N81" s="269">
        <f t="shared" si="45"/>
        <v>0</v>
      </c>
      <c r="O81" s="269">
        <f t="shared" si="20"/>
        <v>0</v>
      </c>
      <c r="P81" s="278">
        <f t="shared" si="21"/>
        <v>0</v>
      </c>
      <c r="Q81" s="269">
        <f t="shared" ref="Q81:R81" si="65">IF(ISERROR(IF(Budget_Pricing="Yes",IF(Q37="","",Q37*(1+$E$48)*(1+$E$49)*(1+$AE81)),"")),"",IF(Budget_Pricing="Yes",IF(Q37="","",Q37*(1+$E$48)*(1+$E$49)*(1+$AE81)),""))</f>
        <v>0</v>
      </c>
      <c r="R81" s="269">
        <f t="shared" si="65"/>
        <v>0</v>
      </c>
      <c r="S81" s="269">
        <f t="shared" si="38"/>
        <v>0</v>
      </c>
      <c r="T81" s="269">
        <f t="shared" si="47"/>
        <v>0</v>
      </c>
      <c r="U81" s="269">
        <f t="shared" si="39"/>
        <v>0</v>
      </c>
      <c r="V81" s="269">
        <f t="shared" si="48"/>
        <v>0</v>
      </c>
      <c r="W81" s="269">
        <f t="shared" si="40"/>
        <v>0</v>
      </c>
      <c r="X81" s="269">
        <f t="shared" si="49"/>
        <v>0</v>
      </c>
      <c r="Y81" s="279">
        <f t="shared" si="29"/>
        <v>0</v>
      </c>
      <c r="Z81" s="269">
        <f t="shared" si="30"/>
        <v>0</v>
      </c>
      <c r="AA81" s="269">
        <f t="shared" si="31"/>
        <v>0</v>
      </c>
      <c r="AB81" s="272">
        <f t="shared" si="32"/>
        <v>0</v>
      </c>
      <c r="AC81" s="197"/>
      <c r="AD81" s="196"/>
      <c r="AE81" s="256"/>
    </row>
    <row r="82" spans="1:31" ht="15" hidden="1" x14ac:dyDescent="0.2">
      <c r="A82" s="285" t="str">
        <f t="shared" si="58"/>
        <v/>
      </c>
      <c r="B82" s="285" t="str">
        <f t="shared" si="58"/>
        <v>23.</v>
      </c>
      <c r="C82" s="285" t="str">
        <f t="shared" si="58"/>
        <v/>
      </c>
      <c r="D82" s="285" t="str">
        <f t="shared" si="58"/>
        <v/>
      </c>
      <c r="E82" s="285" t="str">
        <f t="shared" si="58"/>
        <v/>
      </c>
      <c r="F82" s="285" t="str">
        <f t="shared" si="58"/>
        <v/>
      </c>
      <c r="G82" s="285" t="str">
        <f t="shared" si="58"/>
        <v/>
      </c>
      <c r="H82" s="285" t="str">
        <f t="shared" si="58"/>
        <v/>
      </c>
      <c r="I82" s="285" t="str">
        <f t="shared" si="58"/>
        <v/>
      </c>
      <c r="J82" s="269">
        <f t="shared" si="43"/>
        <v>0</v>
      </c>
      <c r="K82" s="269">
        <f t="shared" si="35"/>
        <v>0</v>
      </c>
      <c r="L82" s="269">
        <f t="shared" si="44"/>
        <v>0</v>
      </c>
      <c r="M82" s="269">
        <f t="shared" si="18"/>
        <v>0</v>
      </c>
      <c r="N82" s="269">
        <f t="shared" si="45"/>
        <v>0</v>
      </c>
      <c r="O82" s="269">
        <f t="shared" si="20"/>
        <v>0</v>
      </c>
      <c r="P82" s="278">
        <f t="shared" si="21"/>
        <v>0</v>
      </c>
      <c r="Q82" s="269">
        <f t="shared" ref="Q82:R82" si="66">IF(ISERROR(IF(Budget_Pricing="Yes",IF(Q38="","",Q38*(1+$E$48)*(1+$E$49)*(1+$AE82)),"")),"",IF(Budget_Pricing="Yes",IF(Q38="","",Q38*(1+$E$48)*(1+$E$49)*(1+$AE82)),""))</f>
        <v>0</v>
      </c>
      <c r="R82" s="269">
        <f t="shared" si="66"/>
        <v>0</v>
      </c>
      <c r="S82" s="269">
        <f t="shared" si="38"/>
        <v>0</v>
      </c>
      <c r="T82" s="269">
        <f t="shared" si="47"/>
        <v>0</v>
      </c>
      <c r="U82" s="269">
        <f t="shared" si="39"/>
        <v>0</v>
      </c>
      <c r="V82" s="269">
        <f t="shared" si="48"/>
        <v>0</v>
      </c>
      <c r="W82" s="269">
        <f t="shared" si="40"/>
        <v>0</v>
      </c>
      <c r="X82" s="269">
        <f t="shared" si="49"/>
        <v>0</v>
      </c>
      <c r="Y82" s="279">
        <f t="shared" si="29"/>
        <v>0</v>
      </c>
      <c r="Z82" s="269">
        <f t="shared" si="30"/>
        <v>0</v>
      </c>
      <c r="AA82" s="269">
        <f t="shared" si="31"/>
        <v>0</v>
      </c>
      <c r="AB82" s="272">
        <f t="shared" si="32"/>
        <v>0</v>
      </c>
      <c r="AC82" s="197"/>
      <c r="AD82" s="196"/>
      <c r="AE82" s="256"/>
    </row>
    <row r="83" spans="1:31" ht="15" hidden="1" x14ac:dyDescent="0.2">
      <c r="A83" s="285" t="str">
        <f t="shared" si="58"/>
        <v/>
      </c>
      <c r="B83" s="285" t="str">
        <f t="shared" si="58"/>
        <v>24.</v>
      </c>
      <c r="C83" s="285" t="str">
        <f t="shared" si="58"/>
        <v/>
      </c>
      <c r="D83" s="285" t="str">
        <f t="shared" si="58"/>
        <v/>
      </c>
      <c r="E83" s="285" t="str">
        <f t="shared" si="58"/>
        <v/>
      </c>
      <c r="F83" s="285" t="str">
        <f t="shared" si="58"/>
        <v/>
      </c>
      <c r="G83" s="285" t="str">
        <f t="shared" si="58"/>
        <v/>
      </c>
      <c r="H83" s="285" t="str">
        <f t="shared" si="58"/>
        <v/>
      </c>
      <c r="I83" s="285" t="str">
        <f t="shared" si="58"/>
        <v/>
      </c>
      <c r="J83" s="269">
        <f t="shared" si="43"/>
        <v>0</v>
      </c>
      <c r="K83" s="269">
        <f t="shared" si="35"/>
        <v>0</v>
      </c>
      <c r="L83" s="269">
        <f t="shared" si="44"/>
        <v>0</v>
      </c>
      <c r="M83" s="269">
        <f t="shared" si="18"/>
        <v>0</v>
      </c>
      <c r="N83" s="269">
        <f t="shared" si="45"/>
        <v>0</v>
      </c>
      <c r="O83" s="269">
        <f t="shared" si="20"/>
        <v>0</v>
      </c>
      <c r="P83" s="278">
        <f t="shared" si="21"/>
        <v>0</v>
      </c>
      <c r="Q83" s="269">
        <f t="shared" ref="Q83:R83" si="67">IF(ISERROR(IF(Budget_Pricing="Yes",IF(Q39="","",Q39*(1+$E$48)*(1+$E$49)*(1+$AE83)),"")),"",IF(Budget_Pricing="Yes",IF(Q39="","",Q39*(1+$E$48)*(1+$E$49)*(1+$AE83)),""))</f>
        <v>0</v>
      </c>
      <c r="R83" s="269">
        <f t="shared" si="67"/>
        <v>0</v>
      </c>
      <c r="S83" s="269">
        <f t="shared" si="38"/>
        <v>0</v>
      </c>
      <c r="T83" s="269">
        <f t="shared" si="47"/>
        <v>0</v>
      </c>
      <c r="U83" s="269">
        <f t="shared" si="39"/>
        <v>0</v>
      </c>
      <c r="V83" s="269">
        <f t="shared" si="48"/>
        <v>0</v>
      </c>
      <c r="W83" s="269">
        <f t="shared" si="40"/>
        <v>0</v>
      </c>
      <c r="X83" s="269">
        <f t="shared" si="49"/>
        <v>0</v>
      </c>
      <c r="Y83" s="279">
        <f t="shared" si="29"/>
        <v>0</v>
      </c>
      <c r="Z83" s="269">
        <f t="shared" si="30"/>
        <v>0</v>
      </c>
      <c r="AA83" s="269">
        <f t="shared" si="31"/>
        <v>0</v>
      </c>
      <c r="AB83" s="272">
        <f t="shared" si="32"/>
        <v>0</v>
      </c>
      <c r="AC83" s="197"/>
      <c r="AD83" s="196"/>
      <c r="AE83" s="256"/>
    </row>
    <row r="84" spans="1:31" ht="15" hidden="1" x14ac:dyDescent="0.2">
      <c r="A84" s="286" t="str">
        <f t="shared" si="58"/>
        <v/>
      </c>
      <c r="B84" s="286" t="str">
        <f t="shared" si="58"/>
        <v>25.</v>
      </c>
      <c r="C84" s="286" t="str">
        <f t="shared" si="58"/>
        <v/>
      </c>
      <c r="D84" s="286" t="str">
        <f t="shared" si="58"/>
        <v/>
      </c>
      <c r="E84" s="286" t="str">
        <f t="shared" si="58"/>
        <v/>
      </c>
      <c r="F84" s="286" t="str">
        <f t="shared" si="58"/>
        <v/>
      </c>
      <c r="G84" s="286" t="str">
        <f t="shared" si="58"/>
        <v/>
      </c>
      <c r="H84" s="286" t="str">
        <f t="shared" si="58"/>
        <v/>
      </c>
      <c r="I84" s="286" t="str">
        <f t="shared" si="58"/>
        <v/>
      </c>
      <c r="J84" s="270">
        <f t="shared" si="43"/>
        <v>0</v>
      </c>
      <c r="K84" s="270">
        <f t="shared" si="35"/>
        <v>0</v>
      </c>
      <c r="L84" s="270">
        <f t="shared" si="44"/>
        <v>0</v>
      </c>
      <c r="M84" s="270">
        <f t="shared" si="18"/>
        <v>0</v>
      </c>
      <c r="N84" s="270">
        <f t="shared" si="45"/>
        <v>0</v>
      </c>
      <c r="O84" s="270">
        <f t="shared" si="20"/>
        <v>0</v>
      </c>
      <c r="P84" s="280">
        <f t="shared" si="21"/>
        <v>0</v>
      </c>
      <c r="Q84" s="270">
        <f t="shared" ref="Q84:R84" si="68">IF(ISERROR(IF(Budget_Pricing="Yes",IF(Q40="","",Q40*(1+$E$48)*(1+$E$49)*(1+$AE84)),"")),"",IF(Budget_Pricing="Yes",IF(Q40="","",Q40*(1+$E$48)*(1+$E$49)*(1+$AE84)),""))</f>
        <v>0</v>
      </c>
      <c r="R84" s="270">
        <f t="shared" si="68"/>
        <v>0</v>
      </c>
      <c r="S84" s="270">
        <f t="shared" si="38"/>
        <v>0</v>
      </c>
      <c r="T84" s="270">
        <f t="shared" si="47"/>
        <v>0</v>
      </c>
      <c r="U84" s="270">
        <f t="shared" si="39"/>
        <v>0</v>
      </c>
      <c r="V84" s="270">
        <f t="shared" si="48"/>
        <v>0</v>
      </c>
      <c r="W84" s="270">
        <f t="shared" si="40"/>
        <v>0</v>
      </c>
      <c r="X84" s="270">
        <f t="shared" si="49"/>
        <v>0</v>
      </c>
      <c r="Y84" s="281">
        <f t="shared" si="29"/>
        <v>0</v>
      </c>
      <c r="Z84" s="270">
        <f t="shared" si="30"/>
        <v>0</v>
      </c>
      <c r="AA84" s="270">
        <f t="shared" si="31"/>
        <v>0</v>
      </c>
      <c r="AB84" s="273">
        <f t="shared" si="32"/>
        <v>0</v>
      </c>
      <c r="AC84" s="197"/>
      <c r="AD84" s="196"/>
      <c r="AE84" s="256"/>
    </row>
    <row r="85" spans="1:31" ht="15" x14ac:dyDescent="0.2">
      <c r="A85" s="259"/>
      <c r="B85" s="260"/>
      <c r="C85" s="261"/>
      <c r="D85" s="262"/>
      <c r="E85" s="262"/>
      <c r="F85" s="262"/>
      <c r="G85" s="262"/>
      <c r="H85" s="262"/>
      <c r="I85" s="262"/>
      <c r="J85" s="282"/>
      <c r="K85" s="267"/>
      <c r="L85" s="282"/>
      <c r="M85" s="267"/>
      <c r="N85" s="282"/>
      <c r="O85" s="267"/>
      <c r="P85" s="283"/>
      <c r="Q85" s="267"/>
      <c r="R85" s="282"/>
      <c r="S85" s="267"/>
      <c r="T85" s="282"/>
      <c r="U85" s="267"/>
      <c r="V85" s="282"/>
      <c r="W85" s="267"/>
      <c r="X85" s="282"/>
      <c r="Y85" s="284"/>
      <c r="Z85" s="282"/>
      <c r="AA85" s="267"/>
      <c r="AB85" s="267"/>
      <c r="AC85" s="197"/>
      <c r="AD85" s="196"/>
      <c r="AE85" s="265"/>
    </row>
    <row r="86" spans="1:31" x14ac:dyDescent="0.2">
      <c r="A86" s="199"/>
      <c r="B86" s="199"/>
      <c r="C86" s="199"/>
      <c r="D86" s="246" t="s">
        <v>263</v>
      </c>
      <c r="E86" s="246"/>
      <c r="F86" s="247"/>
      <c r="G86" s="199"/>
      <c r="H86" s="199"/>
      <c r="I86" s="199"/>
      <c r="J86" s="274"/>
      <c r="K86" s="273">
        <f>SUM(K59:K85)</f>
        <v>3565992.4960000003</v>
      </c>
      <c r="L86" s="275"/>
      <c r="M86" s="273">
        <f>SUM(M59:M85)</f>
        <v>1437900.2</v>
      </c>
      <c r="N86" s="275"/>
      <c r="O86" s="273">
        <f>SUM(O59:O85)</f>
        <v>433630.85999999993</v>
      </c>
      <c r="P86" s="275"/>
      <c r="Q86" s="273">
        <f>SUM(Q59:Q85)</f>
        <v>1960380.4999999995</v>
      </c>
      <c r="R86" s="275"/>
      <c r="S86" s="273">
        <f>SUM(S59:S85)</f>
        <v>145138.65</v>
      </c>
      <c r="T86" s="275"/>
      <c r="U86" s="273">
        <f>SUM(U59:U85)</f>
        <v>0</v>
      </c>
      <c r="V86" s="274"/>
      <c r="W86" s="273">
        <f>SUM(W59:W85)</f>
        <v>403807.14</v>
      </c>
      <c r="X86" s="276"/>
      <c r="Y86" s="277"/>
      <c r="Z86" s="274"/>
      <c r="AA86" s="273">
        <f>SUM(AA59:AA85)</f>
        <v>1311953.9245679998</v>
      </c>
      <c r="AB86" s="273">
        <f>SUM(AB59:AB85)</f>
        <v>9258803.7705680002</v>
      </c>
      <c r="AC86" s="207"/>
      <c r="AD86" s="207"/>
      <c r="AE86" s="207"/>
    </row>
    <row r="87" spans="1:31" x14ac:dyDescent="0.2">
      <c r="A87" s="207"/>
      <c r="B87" s="207"/>
      <c r="C87" s="207"/>
      <c r="D87" s="199"/>
      <c r="E87" s="199"/>
      <c r="F87" s="253"/>
      <c r="G87" s="199"/>
      <c r="H87" s="199"/>
      <c r="I87" s="199"/>
      <c r="J87" s="248"/>
      <c r="K87" s="248"/>
      <c r="L87" s="248"/>
      <c r="M87" s="248"/>
      <c r="N87" s="248"/>
      <c r="O87" s="248"/>
      <c r="P87" s="248"/>
      <c r="Q87" s="248"/>
      <c r="R87" s="248"/>
      <c r="S87" s="248"/>
      <c r="T87" s="248"/>
      <c r="U87" s="248"/>
      <c r="V87" s="248"/>
      <c r="W87" s="248"/>
      <c r="X87" s="250"/>
      <c r="Y87" s="248"/>
      <c r="Z87" s="251"/>
      <c r="AA87" s="252"/>
      <c r="AB87" s="250"/>
      <c r="AC87" s="250"/>
      <c r="AD87" s="207"/>
      <c r="AE87" s="207"/>
    </row>
    <row r="88" spans="1:31" ht="15" x14ac:dyDescent="0.2">
      <c r="A88" s="216"/>
      <c r="B88" s="196"/>
      <c r="C88" s="196"/>
      <c r="D88" s="216"/>
      <c r="E88" s="21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row>
  </sheetData>
  <mergeCells count="4">
    <mergeCell ref="B55:C55"/>
    <mergeCell ref="B57:C57"/>
    <mergeCell ref="B11:C11"/>
    <mergeCell ref="B13:C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13"/>
  <sheetViews>
    <sheetView tabSelected="1" workbookViewId="0">
      <pane xSplit="4" ySplit="11" topLeftCell="E206" activePane="bottomRight" state="frozen"/>
      <selection pane="topRight" activeCell="E1" sqref="E1"/>
      <selection pane="bottomLeft" activeCell="A9" sqref="A9"/>
      <selection pane="bottomRight" activeCell="A229" sqref="A229"/>
    </sheetView>
  </sheetViews>
  <sheetFormatPr defaultRowHeight="15" x14ac:dyDescent="0.25"/>
  <cols>
    <col min="1" max="1" width="18" customWidth="1"/>
    <col min="2" max="2" width="23.140625" customWidth="1"/>
    <col min="3" max="3" width="9" customWidth="1"/>
    <col min="4" max="4" width="42.42578125" customWidth="1"/>
    <col min="5" max="5" width="13" customWidth="1"/>
    <col min="6" max="6" width="14.42578125" customWidth="1"/>
    <col min="7" max="7" width="14.5703125" customWidth="1"/>
    <col min="8" max="8" width="14" customWidth="1"/>
    <col min="9" max="9" width="15.85546875" customWidth="1"/>
    <col min="10" max="10" width="10.5703125" bestFit="1" customWidth="1"/>
    <col min="11" max="11" width="16.140625" customWidth="1"/>
    <col min="12" max="14" width="15.85546875" customWidth="1"/>
    <col min="15" max="16" width="15.5703125" customWidth="1"/>
    <col min="17" max="17" width="14.85546875" customWidth="1"/>
    <col min="18" max="18" width="15.5703125" customWidth="1"/>
    <col min="19" max="19" width="16" customWidth="1"/>
    <col min="20" max="21" width="9.5703125" bestFit="1" customWidth="1"/>
    <col min="22" max="22" width="10.5703125" bestFit="1" customWidth="1"/>
    <col min="23" max="23" width="9.5703125" bestFit="1" customWidth="1"/>
    <col min="24" max="24" width="11" customWidth="1"/>
    <col min="25" max="25" width="10.5703125" bestFit="1" customWidth="1"/>
    <col min="26" max="26" width="15.28515625" bestFit="1" customWidth="1"/>
  </cols>
  <sheetData>
    <row r="1" spans="1:26" x14ac:dyDescent="0.25">
      <c r="A1" s="6" t="s">
        <v>124</v>
      </c>
      <c r="B1" s="3">
        <f>+Parameters!G14</f>
        <v>960.07281326927591</v>
      </c>
      <c r="E1" t="s">
        <v>559</v>
      </c>
      <c r="G1" s="28">
        <v>5000</v>
      </c>
      <c r="M1" s="6"/>
    </row>
    <row r="2" spans="1:26" x14ac:dyDescent="0.25">
      <c r="A2" s="6" t="s">
        <v>125</v>
      </c>
      <c r="B2" s="3">
        <f>+Parameters!G18</f>
        <v>379.92081737296741</v>
      </c>
      <c r="E2" t="s">
        <v>560</v>
      </c>
      <c r="G2" s="28">
        <v>3.6</v>
      </c>
      <c r="I2" t="s">
        <v>565</v>
      </c>
      <c r="J2" s="170">
        <f>4*Z167</f>
        <v>88400</v>
      </c>
      <c r="K2" t="s">
        <v>628</v>
      </c>
    </row>
    <row r="3" spans="1:26" x14ac:dyDescent="0.25">
      <c r="A3" s="6"/>
      <c r="B3" s="3"/>
      <c r="C3" t="s">
        <v>157</v>
      </c>
      <c r="E3" t="s">
        <v>562</v>
      </c>
      <c r="G3" s="28">
        <v>1.67</v>
      </c>
      <c r="I3" t="s">
        <v>566</v>
      </c>
      <c r="J3" s="170">
        <f>4*Z168</f>
        <v>11602.815313308603</v>
      </c>
      <c r="K3" s="332">
        <f>J3/J4</f>
        <v>0.11602488666901035</v>
      </c>
    </row>
    <row r="4" spans="1:26" x14ac:dyDescent="0.25">
      <c r="A4" s="6"/>
      <c r="B4" s="3"/>
      <c r="C4" t="s">
        <v>157</v>
      </c>
      <c r="E4" t="s">
        <v>561</v>
      </c>
      <c r="G4" s="28">
        <v>6</v>
      </c>
      <c r="I4" t="s">
        <v>567</v>
      </c>
      <c r="J4" s="170">
        <f>4*Z169</f>
        <v>100002.8153133086</v>
      </c>
    </row>
    <row r="5" spans="1:26" x14ac:dyDescent="0.25">
      <c r="A5" s="171" t="s">
        <v>663</v>
      </c>
      <c r="B5" s="6" t="s">
        <v>194</v>
      </c>
      <c r="C5" s="28">
        <v>5525</v>
      </c>
      <c r="D5" s="172" t="s">
        <v>665</v>
      </c>
      <c r="E5" t="s">
        <v>563</v>
      </c>
      <c r="G5" s="10">
        <f>G1*G2*(G3*(B1+D25)+G4*B2)</f>
        <v>75602637.04315491</v>
      </c>
      <c r="I5" t="s">
        <v>667</v>
      </c>
    </row>
    <row r="6" spans="1:26" x14ac:dyDescent="0.25">
      <c r="A6" s="195" t="s">
        <v>268</v>
      </c>
      <c r="B6" s="192"/>
      <c r="C6" s="192">
        <f>4*Z167</f>
        <v>88400</v>
      </c>
      <c r="D6" s="172" t="s">
        <v>664</v>
      </c>
      <c r="G6" s="10"/>
    </row>
    <row r="7" spans="1:26" x14ac:dyDescent="0.25">
      <c r="A7" s="163">
        <f>Z169*4</f>
        <v>100002.8153133086</v>
      </c>
      <c r="B7" t="s">
        <v>661</v>
      </c>
      <c r="C7" s="28">
        <v>0.5</v>
      </c>
    </row>
    <row r="8" spans="1:26" x14ac:dyDescent="0.25">
      <c r="A8" s="6"/>
      <c r="B8" t="s">
        <v>557</v>
      </c>
      <c r="C8" s="165">
        <v>0.7</v>
      </c>
      <c r="E8" t="s">
        <v>93</v>
      </c>
      <c r="G8" t="s">
        <v>113</v>
      </c>
      <c r="I8" t="s">
        <v>119</v>
      </c>
      <c r="K8" t="s">
        <v>120</v>
      </c>
      <c r="M8" s="6" t="s">
        <v>103</v>
      </c>
      <c r="O8" t="s">
        <v>113</v>
      </c>
      <c r="Q8" t="s">
        <v>119</v>
      </c>
      <c r="S8" t="s">
        <v>121</v>
      </c>
      <c r="U8" t="s">
        <v>113</v>
      </c>
      <c r="W8" t="s">
        <v>122</v>
      </c>
      <c r="Y8" t="s">
        <v>127</v>
      </c>
    </row>
    <row r="9" spans="1:26" x14ac:dyDescent="0.25">
      <c r="A9" s="6"/>
      <c r="B9" t="s">
        <v>558</v>
      </c>
      <c r="C9" s="165">
        <v>0.15</v>
      </c>
      <c r="M9" s="6"/>
      <c r="Z9" t="s">
        <v>133</v>
      </c>
    </row>
    <row r="10" spans="1:26" x14ac:dyDescent="0.25">
      <c r="A10" s="6"/>
      <c r="B10" t="s">
        <v>659</v>
      </c>
      <c r="C10" s="28">
        <v>1</v>
      </c>
      <c r="D10" s="28">
        <v>1</v>
      </c>
      <c r="E10" s="161" t="s">
        <v>101</v>
      </c>
      <c r="F10" s="161" t="s">
        <v>102</v>
      </c>
      <c r="G10" s="161" t="s">
        <v>101</v>
      </c>
      <c r="H10" s="161" t="s">
        <v>102</v>
      </c>
      <c r="I10" s="161" t="s">
        <v>101</v>
      </c>
      <c r="J10" s="161" t="s">
        <v>102</v>
      </c>
      <c r="K10" s="161" t="s">
        <v>101</v>
      </c>
      <c r="L10" s="161" t="s">
        <v>102</v>
      </c>
      <c r="M10" s="173" t="s">
        <v>101</v>
      </c>
      <c r="N10" s="161" t="s">
        <v>102</v>
      </c>
      <c r="O10" s="161" t="s">
        <v>101</v>
      </c>
      <c r="P10" s="161" t="s">
        <v>102</v>
      </c>
      <c r="Q10" s="161" t="s">
        <v>101</v>
      </c>
      <c r="R10" s="161" t="s">
        <v>102</v>
      </c>
      <c r="S10" s="161" t="s">
        <v>101</v>
      </c>
      <c r="T10" s="161" t="s">
        <v>102</v>
      </c>
      <c r="U10" s="161" t="s">
        <v>101</v>
      </c>
      <c r="V10" s="161" t="s">
        <v>102</v>
      </c>
      <c r="W10" s="161" t="s">
        <v>101</v>
      </c>
      <c r="X10" s="161" t="s">
        <v>102</v>
      </c>
    </row>
    <row r="11" spans="1:26" x14ac:dyDescent="0.25">
      <c r="A11" t="s">
        <v>564</v>
      </c>
      <c r="M11" s="6"/>
      <c r="Z11" s="3">
        <f>'NCS Recruitment 250 hosp 5 prov'!C182+G5</f>
        <v>306175027.37237042</v>
      </c>
    </row>
    <row r="12" spans="1:26" ht="30" x14ac:dyDescent="0.25">
      <c r="A12" s="6"/>
      <c r="D12" t="s">
        <v>126</v>
      </c>
      <c r="M12" s="6"/>
      <c r="N12" s="6"/>
      <c r="O12" s="6"/>
      <c r="P12" s="6"/>
      <c r="Q12" s="6"/>
      <c r="R12" s="6"/>
      <c r="S12" s="6"/>
      <c r="T12" s="6"/>
      <c r="U12" s="6"/>
      <c r="V12" s="6"/>
      <c r="Z12" s="158" t="s">
        <v>634</v>
      </c>
    </row>
    <row r="13" spans="1:26" x14ac:dyDescent="0.25">
      <c r="A13" s="6" t="s">
        <v>115</v>
      </c>
      <c r="B13" t="s">
        <v>494</v>
      </c>
      <c r="D13" s="331">
        <f>'NCS Recruitment 250 hosp 5 prov'!AE1</f>
        <v>230572390.32921553</v>
      </c>
      <c r="E13" s="4"/>
      <c r="F13" s="4"/>
      <c r="M13" s="6"/>
      <c r="N13" s="6"/>
      <c r="O13" s="6"/>
      <c r="P13" s="6"/>
      <c r="Q13" s="6"/>
      <c r="R13" s="6"/>
      <c r="S13" s="6"/>
      <c r="T13" s="6"/>
      <c r="U13" s="6"/>
      <c r="V13" s="6"/>
      <c r="W13" s="6"/>
      <c r="X13" s="6"/>
      <c r="Y13" s="6"/>
      <c r="Z13" s="3">
        <f>0.4*Z11/4</f>
        <v>30617502.737237044</v>
      </c>
    </row>
    <row r="14" spans="1:26" x14ac:dyDescent="0.25">
      <c r="A14" s="6"/>
      <c r="B14" t="s">
        <v>537</v>
      </c>
      <c r="D14" s="10"/>
      <c r="E14" s="6">
        <f>$C$5*$C$7</f>
        <v>2762.5</v>
      </c>
      <c r="F14" s="6">
        <f>$C$5*(1-$C$7)</f>
        <v>2762.5</v>
      </c>
      <c r="M14" s="6"/>
      <c r="N14" s="6"/>
      <c r="Y14" s="6"/>
      <c r="Z14" s="3"/>
    </row>
    <row r="15" spans="1:26" x14ac:dyDescent="0.25">
      <c r="A15" s="6"/>
      <c r="B15" s="5" t="s">
        <v>94</v>
      </c>
      <c r="C15" t="s">
        <v>112</v>
      </c>
      <c r="D15" s="10">
        <f>B$1</f>
        <v>960.07281326927591</v>
      </c>
      <c r="E15" s="6">
        <f>(1++'Duncan fertility'!$O$3)*E14</f>
        <v>2830.2779375</v>
      </c>
      <c r="F15" s="6"/>
      <c r="M15" s="6"/>
      <c r="N15" s="6"/>
      <c r="Y15" s="6">
        <f t="shared" ref="Y15:Y23" si="0">SUM(E15:X15)</f>
        <v>2830.2779375</v>
      </c>
      <c r="Z15" s="3">
        <f t="shared" ref="Z15:Z23" si="1">Y15*D15</f>
        <v>2717272.9017895889</v>
      </c>
    </row>
    <row r="16" spans="1:26" x14ac:dyDescent="0.25">
      <c r="A16" s="6"/>
      <c r="B16" s="5" t="s">
        <v>95</v>
      </c>
      <c r="C16" t="s">
        <v>112</v>
      </c>
      <c r="D16" s="10">
        <f>B$1</f>
        <v>960.07281326927591</v>
      </c>
      <c r="E16" s="6">
        <f>E$15*$C$8</f>
        <v>1981.1945562499998</v>
      </c>
      <c r="F16" s="6"/>
      <c r="J16" s="6"/>
      <c r="M16" s="6"/>
      <c r="N16" s="6"/>
      <c r="Y16" s="6">
        <f t="shared" si="0"/>
        <v>1981.1945562499998</v>
      </c>
      <c r="Z16" s="3">
        <f t="shared" si="1"/>
        <v>1902091.031252712</v>
      </c>
    </row>
    <row r="17" spans="1:26" x14ac:dyDescent="0.25">
      <c r="A17" s="6"/>
      <c r="B17" s="5"/>
      <c r="D17" s="10"/>
      <c r="E17" s="6"/>
      <c r="F17" s="6"/>
      <c r="M17" s="6"/>
      <c r="N17" s="6"/>
      <c r="Y17" s="6"/>
      <c r="Z17" s="3"/>
    </row>
    <row r="18" spans="1:26" x14ac:dyDescent="0.25">
      <c r="A18" s="6"/>
      <c r="B18" s="5" t="s">
        <v>197</v>
      </c>
      <c r="C18" s="10">
        <f>+Parameters!$B$42++Parameters!$B$17*+Parameters!$B$18*(1++Parameters!$B$3)*+Parameters!$B$33*1.5</f>
        <v>214.99599999999998</v>
      </c>
      <c r="D18" s="10">
        <f>$C$18</f>
        <v>214.99599999999998</v>
      </c>
      <c r="E18" s="6">
        <f t="shared" ref="E18:E23" si="2">E$15</f>
        <v>2830.2779375</v>
      </c>
      <c r="F18" s="6">
        <f>(1++'Duncan fertility'!$O$3)*F$14</f>
        <v>2830.2779375</v>
      </c>
      <c r="M18" s="6"/>
      <c r="N18" s="6"/>
      <c r="Y18" s="6">
        <f t="shared" si="0"/>
        <v>5660.555875</v>
      </c>
      <c r="Z18" s="3">
        <f>Y18*D18</f>
        <v>1216996.8709014999</v>
      </c>
    </row>
    <row r="19" spans="1:26" x14ac:dyDescent="0.25">
      <c r="A19" s="6"/>
      <c r="B19" s="5" t="s">
        <v>200</v>
      </c>
      <c r="C19" t="s">
        <v>112</v>
      </c>
      <c r="D19" s="10">
        <f t="shared" ref="D19" si="3">B$1</f>
        <v>960.07281326927591</v>
      </c>
      <c r="E19" s="6">
        <f>E$15*$C$9</f>
        <v>424.541690625</v>
      </c>
      <c r="F19" s="6">
        <f>(1++'Duncan fertility'!$O$3)*F$14*$C$9</f>
        <v>424.541690625</v>
      </c>
      <c r="G19" s="6"/>
      <c r="H19" s="6"/>
      <c r="I19" s="6"/>
      <c r="J19" s="6"/>
      <c r="K19" s="6"/>
      <c r="L19" s="6"/>
      <c r="M19" s="6"/>
      <c r="N19" s="6"/>
      <c r="O19" s="6"/>
      <c r="P19" s="6"/>
      <c r="Q19" s="6"/>
      <c r="R19" s="6"/>
      <c r="S19" s="6"/>
      <c r="T19" s="6"/>
      <c r="U19" s="6"/>
      <c r="V19" s="6"/>
      <c r="W19" s="6"/>
      <c r="X19" s="6"/>
      <c r="Y19" s="6">
        <f t="shared" si="0"/>
        <v>849.08338125</v>
      </c>
      <c r="Z19" s="6">
        <f>Y18*D19</f>
        <v>5434545.8035791777</v>
      </c>
    </row>
    <row r="20" spans="1:26" x14ac:dyDescent="0.25">
      <c r="A20" s="6"/>
      <c r="B20" s="5" t="s">
        <v>97</v>
      </c>
      <c r="C20" t="s">
        <v>123</v>
      </c>
      <c r="D20" s="10">
        <f>B$2</f>
        <v>379.92081737296741</v>
      </c>
      <c r="E20" s="6">
        <f t="shared" si="2"/>
        <v>2830.2779375</v>
      </c>
      <c r="F20" s="6">
        <f>(1++'Duncan fertility'!$O$3)*F$14</f>
        <v>2830.2779375</v>
      </c>
      <c r="M20" s="6"/>
      <c r="N20" s="6"/>
      <c r="Y20" s="6">
        <f t="shared" si="0"/>
        <v>5660.555875</v>
      </c>
      <c r="Z20" s="6">
        <f t="shared" si="1"/>
        <v>2150563.0148153529</v>
      </c>
    </row>
    <row r="21" spans="1:26" x14ac:dyDescent="0.25">
      <c r="A21" s="6"/>
      <c r="B21" s="5" t="s">
        <v>98</v>
      </c>
      <c r="C21" t="s">
        <v>112</v>
      </c>
      <c r="D21" s="10">
        <f>B$1</f>
        <v>960.07281326927591</v>
      </c>
      <c r="E21" s="6">
        <f>E$15*$C$10</f>
        <v>2830.2779375</v>
      </c>
      <c r="F21" s="6">
        <f>(1++'Duncan fertility'!$O$3)*F$14*$C$10</f>
        <v>2830.2779375</v>
      </c>
      <c r="M21" s="6"/>
      <c r="N21" s="6"/>
      <c r="Y21" s="6">
        <f t="shared" si="0"/>
        <v>5660.555875</v>
      </c>
      <c r="Z21" s="6">
        <f t="shared" si="1"/>
        <v>5434545.8035791777</v>
      </c>
    </row>
    <row r="22" spans="1:26" x14ac:dyDescent="0.25">
      <c r="A22" s="6"/>
      <c r="B22" s="5" t="s">
        <v>99</v>
      </c>
      <c r="C22" t="s">
        <v>123</v>
      </c>
      <c r="D22" s="10">
        <f>B$2</f>
        <v>379.92081737296741</v>
      </c>
      <c r="E22" s="6">
        <f>E$15*$D$10</f>
        <v>2830.2779375</v>
      </c>
      <c r="F22" s="6">
        <f>(1++'Duncan fertility'!$O$3)*F$14*$D$10</f>
        <v>2830.2779375</v>
      </c>
      <c r="M22" s="6"/>
      <c r="N22" s="6"/>
      <c r="Y22" s="6">
        <f t="shared" si="0"/>
        <v>5660.555875</v>
      </c>
      <c r="Z22" s="6">
        <f t="shared" si="1"/>
        <v>2150563.0148153529</v>
      </c>
    </row>
    <row r="23" spans="1:26" x14ac:dyDescent="0.25">
      <c r="A23" s="6"/>
      <c r="B23" s="5" t="s">
        <v>100</v>
      </c>
      <c r="C23" t="s">
        <v>112</v>
      </c>
      <c r="D23" s="10">
        <f>B$1</f>
        <v>960.07281326927591</v>
      </c>
      <c r="E23" s="6">
        <f t="shared" si="2"/>
        <v>2830.2779375</v>
      </c>
      <c r="F23" s="6">
        <f>(1++'Duncan fertility'!$O$3)*F$14</f>
        <v>2830.2779375</v>
      </c>
      <c r="M23" s="6"/>
      <c r="N23" s="6"/>
      <c r="Y23" s="6">
        <f t="shared" si="0"/>
        <v>5660.555875</v>
      </c>
      <c r="Z23" s="6">
        <f t="shared" si="1"/>
        <v>5434545.8035791777</v>
      </c>
    </row>
    <row r="24" spans="1:26" x14ac:dyDescent="0.25">
      <c r="A24" s="6"/>
      <c r="B24" s="5" t="s">
        <v>196</v>
      </c>
      <c r="C24" s="6">
        <f>Y27/'F2F with sibs'!B17</f>
        <v>359.83124505397723</v>
      </c>
      <c r="D24" s="6">
        <f>+Parameters!$B$24+Parameters!$B$25</f>
        <v>2300</v>
      </c>
      <c r="E24" s="6"/>
      <c r="F24" s="6"/>
      <c r="M24" s="6"/>
      <c r="Y24" s="6"/>
      <c r="Z24" s="6">
        <f>C24*D24</f>
        <v>827611.86362414761</v>
      </c>
    </row>
    <row r="25" spans="1:26" x14ac:dyDescent="0.25">
      <c r="A25" s="6"/>
      <c r="B25" s="5" t="s">
        <v>497</v>
      </c>
      <c r="D25" s="10">
        <f>+Parameters!B28</f>
        <v>190</v>
      </c>
      <c r="E25" s="6">
        <f>E15+E16+E19+E21+E23</f>
        <v>10896.570059375001</v>
      </c>
      <c r="F25" s="6">
        <f>F15+F16+F19+F21+F23</f>
        <v>6085.0975656250002</v>
      </c>
      <c r="M25" s="6"/>
      <c r="V25" s="6"/>
      <c r="Y25" s="6">
        <f>SUM(E25:X25)</f>
        <v>16981.667625000002</v>
      </c>
      <c r="Z25" s="6">
        <f>D25*Y25</f>
        <v>3226516.8487500004</v>
      </c>
    </row>
    <row r="26" spans="1:26" x14ac:dyDescent="0.25">
      <c r="A26" s="6"/>
      <c r="B26" t="s">
        <v>518</v>
      </c>
      <c r="E26" s="6"/>
      <c r="F26" s="6"/>
      <c r="M26" s="6"/>
      <c r="N26" s="6"/>
      <c r="V26" s="6"/>
      <c r="Y26" s="6"/>
      <c r="Z26" s="6">
        <f>SUM(Z13:Z25)</f>
        <v>61112755.693923235</v>
      </c>
    </row>
    <row r="27" spans="1:26" x14ac:dyDescent="0.25">
      <c r="A27" s="6"/>
      <c r="B27" s="5" t="s">
        <v>654</v>
      </c>
      <c r="E27" s="6"/>
      <c r="F27" s="6"/>
      <c r="M27" s="6"/>
      <c r="V27" s="6"/>
      <c r="Y27" s="6">
        <f>Y15+Y16+Y18+Y19+Y21+Y23+Y20+Y22</f>
        <v>33963.335249999996</v>
      </c>
      <c r="Z27" s="6"/>
    </row>
    <row r="28" spans="1:26" x14ac:dyDescent="0.25">
      <c r="A28" s="6"/>
      <c r="E28" s="6"/>
      <c r="F28" s="6"/>
      <c r="M28" s="6"/>
      <c r="V28" s="6"/>
      <c r="Y28" s="6"/>
      <c r="Z28" s="6"/>
    </row>
    <row r="29" spans="1:26" x14ac:dyDescent="0.25">
      <c r="A29" s="6" t="s">
        <v>116</v>
      </c>
      <c r="B29" t="s">
        <v>156</v>
      </c>
      <c r="D29" s="10">
        <f>$D$13</f>
        <v>230572390.32921553</v>
      </c>
      <c r="E29" s="6"/>
      <c r="F29" s="6"/>
      <c r="M29" s="6">
        <f>M31*1.2</f>
        <v>3396.333525</v>
      </c>
      <c r="N29" s="6">
        <f>1.2*N34</f>
        <v>3396.333525</v>
      </c>
      <c r="V29" s="6"/>
      <c r="Y29" s="6">
        <f>M29+N29</f>
        <v>6792.66705</v>
      </c>
      <c r="Z29" s="6">
        <f>0.25*Z11/4</f>
        <v>19135939.210773151</v>
      </c>
    </row>
    <row r="30" spans="1:26" x14ac:dyDescent="0.25">
      <c r="A30" s="6"/>
      <c r="B30" t="s">
        <v>195</v>
      </c>
      <c r="D30" s="10"/>
      <c r="E30" s="6"/>
      <c r="F30" s="6"/>
      <c r="M30" s="6">
        <f>$C$5*$C$7</f>
        <v>2762.5</v>
      </c>
      <c r="N30" s="6">
        <f>$C$5*(1-$C$7)</f>
        <v>2762.5</v>
      </c>
      <c r="V30" s="6"/>
      <c r="Y30" s="6"/>
      <c r="Z30" s="6"/>
    </row>
    <row r="31" spans="1:26" x14ac:dyDescent="0.25">
      <c r="A31" s="6"/>
      <c r="B31" s="5" t="s">
        <v>94</v>
      </c>
      <c r="C31" t="s">
        <v>112</v>
      </c>
      <c r="D31" s="10">
        <f>$D$15</f>
        <v>960.07281326927591</v>
      </c>
      <c r="G31" s="7">
        <f>+'Duncan fertility'!$O$4*$E$18*$T$179</f>
        <v>200.88251446148439</v>
      </c>
      <c r="H31" s="7">
        <f>+'Duncan fertility'!$O$4*$F$18*$T$179</f>
        <v>200.88251446148439</v>
      </c>
      <c r="M31" s="6">
        <f>(1++'Duncan fertility'!$O$3)*M30</f>
        <v>2830.2779375</v>
      </c>
      <c r="N31" s="6"/>
      <c r="V31" s="6"/>
      <c r="Y31" s="6">
        <f t="shared" ref="Y31:Y41" si="4">SUM(E31:X31)</f>
        <v>3232.0429664229687</v>
      </c>
      <c r="Z31" s="6">
        <f t="shared" ref="Z31:Z41" si="5">Y31*D31</f>
        <v>3102996.5833808752</v>
      </c>
    </row>
    <row r="32" spans="1:26" x14ac:dyDescent="0.25">
      <c r="A32" s="6"/>
      <c r="B32" s="5" t="s">
        <v>95</v>
      </c>
      <c r="C32" t="s">
        <v>112</v>
      </c>
      <c r="D32" s="10">
        <f>$D$16</f>
        <v>960.07281326927591</v>
      </c>
      <c r="G32" s="6">
        <f>$G$31*$C$8</f>
        <v>140.61776012303906</v>
      </c>
      <c r="H32" s="6">
        <f>$H$31*$C$8</f>
        <v>140.61776012303906</v>
      </c>
      <c r="M32" s="6">
        <f>M$31*$C$8</f>
        <v>1981.1945562499998</v>
      </c>
      <c r="N32" s="6"/>
      <c r="V32" s="6"/>
      <c r="Y32" s="6">
        <f t="shared" si="4"/>
        <v>2262.4300764960781</v>
      </c>
      <c r="Z32" s="6">
        <f t="shared" si="5"/>
        <v>2172097.6083666128</v>
      </c>
    </row>
    <row r="33" spans="1:26" x14ac:dyDescent="0.25">
      <c r="A33" s="6"/>
      <c r="B33" s="5"/>
      <c r="D33" s="10"/>
      <c r="G33" s="6"/>
      <c r="H33" s="6"/>
      <c r="M33" s="6"/>
      <c r="N33" s="6"/>
      <c r="V33" s="6"/>
      <c r="Y33" s="6"/>
      <c r="Z33" s="6"/>
    </row>
    <row r="34" spans="1:26" x14ac:dyDescent="0.25">
      <c r="A34" s="6"/>
      <c r="B34" s="5" t="s">
        <v>197</v>
      </c>
      <c r="C34" s="10"/>
      <c r="D34" s="10">
        <f>$C$18</f>
        <v>214.99599999999998</v>
      </c>
      <c r="G34" s="6">
        <f>$G$31</f>
        <v>200.88251446148439</v>
      </c>
      <c r="H34" s="6">
        <f t="shared" ref="H34:H39" si="6">$H$31</f>
        <v>200.88251446148439</v>
      </c>
      <c r="M34" s="6">
        <f>M$31</f>
        <v>2830.2779375</v>
      </c>
      <c r="N34" s="6">
        <f>(1++'Duncan fertility'!$O$3)*N$30</f>
        <v>2830.2779375</v>
      </c>
      <c r="V34" s="6"/>
      <c r="Y34" s="6">
        <f t="shared" si="4"/>
        <v>6062.3209039229687</v>
      </c>
      <c r="Z34" s="6">
        <f>Y34*D34</f>
        <v>1303374.7450598225</v>
      </c>
    </row>
    <row r="35" spans="1:26" x14ac:dyDescent="0.25">
      <c r="A35" s="6"/>
      <c r="B35" s="5" t="s">
        <v>200</v>
      </c>
      <c r="C35" t="s">
        <v>112</v>
      </c>
      <c r="D35" s="10">
        <f>$D$19</f>
        <v>960.07281326927591</v>
      </c>
      <c r="E35" s="6"/>
      <c r="F35" s="6"/>
      <c r="G35" s="6">
        <f>$G$31*$C$9</f>
        <v>30.132377169222657</v>
      </c>
      <c r="H35" s="6">
        <f>$H$31*$C$9</f>
        <v>30.132377169222657</v>
      </c>
      <c r="M35" s="6">
        <f>M$31*$C$9</f>
        <v>424.541690625</v>
      </c>
      <c r="N35" s="6">
        <f>(1++'Duncan fertility'!$O$3)*N$30*$C$9</f>
        <v>424.541690625</v>
      </c>
      <c r="V35" s="6"/>
      <c r="Y35" s="6">
        <f t="shared" si="4"/>
        <v>909.3481355884453</v>
      </c>
      <c r="Z35" s="6">
        <f>Y34*D35</f>
        <v>5820269.485170464</v>
      </c>
    </row>
    <row r="36" spans="1:26" x14ac:dyDescent="0.25">
      <c r="A36" s="6"/>
      <c r="B36" s="5" t="s">
        <v>97</v>
      </c>
      <c r="C36" t="s">
        <v>123</v>
      </c>
      <c r="D36" s="10">
        <f>$D$20</f>
        <v>379.92081737296741</v>
      </c>
      <c r="E36" s="6"/>
      <c r="F36" s="6"/>
      <c r="G36" s="6">
        <f>$G$31</f>
        <v>200.88251446148439</v>
      </c>
      <c r="H36" s="6">
        <f t="shared" si="6"/>
        <v>200.88251446148439</v>
      </c>
      <c r="M36" s="6">
        <f>M$31</f>
        <v>2830.2779375</v>
      </c>
      <c r="N36" s="6">
        <f>(1++'Duncan fertility'!$O$3)*N$30</f>
        <v>2830.2779375</v>
      </c>
      <c r="V36" s="6"/>
      <c r="Y36" s="6">
        <f t="shared" si="4"/>
        <v>6062.3209039229687</v>
      </c>
      <c r="Z36" s="6">
        <f t="shared" si="5"/>
        <v>2303201.9129956407</v>
      </c>
    </row>
    <row r="37" spans="1:26" x14ac:dyDescent="0.25">
      <c r="A37" s="6"/>
      <c r="B37" s="5" t="s">
        <v>98</v>
      </c>
      <c r="C37" t="s">
        <v>112</v>
      </c>
      <c r="D37" s="10">
        <f>$D$21</f>
        <v>960.07281326927591</v>
      </c>
      <c r="E37" s="6"/>
      <c r="F37" s="6"/>
      <c r="G37" s="6">
        <f>$G$31*$C$10</f>
        <v>200.88251446148439</v>
      </c>
      <c r="H37" s="6">
        <f>$H$31*$C$10</f>
        <v>200.88251446148439</v>
      </c>
      <c r="I37" s="6"/>
      <c r="J37" s="6"/>
      <c r="K37" s="6"/>
      <c r="L37" s="6"/>
      <c r="M37" s="6">
        <f>M$31*$C$10</f>
        <v>2830.2779375</v>
      </c>
      <c r="N37" s="6">
        <f>(1++'Duncan fertility'!$O$3)*N$30*$C$10</f>
        <v>2830.2779375</v>
      </c>
      <c r="V37" s="6"/>
      <c r="Y37" s="6">
        <f t="shared" si="4"/>
        <v>6062.3209039229687</v>
      </c>
      <c r="Z37" s="6">
        <f t="shared" si="5"/>
        <v>5820269.485170464</v>
      </c>
    </row>
    <row r="38" spans="1:26" x14ac:dyDescent="0.25">
      <c r="A38" s="6"/>
      <c r="B38" s="5" t="s">
        <v>99</v>
      </c>
      <c r="C38" t="s">
        <v>123</v>
      </c>
      <c r="D38" s="10">
        <f>$D$22</f>
        <v>379.92081737296741</v>
      </c>
      <c r="E38" s="6"/>
      <c r="F38" s="6"/>
      <c r="G38" s="6">
        <f>$G$31*$D$10</f>
        <v>200.88251446148439</v>
      </c>
      <c r="H38" s="6">
        <f>$H$31*$D$10</f>
        <v>200.88251446148439</v>
      </c>
      <c r="I38" s="6"/>
      <c r="J38" s="6"/>
      <c r="K38" s="6"/>
      <c r="L38" s="6"/>
      <c r="M38" s="6">
        <f>M$31*$D$10</f>
        <v>2830.2779375</v>
      </c>
      <c r="N38" s="6">
        <f>(1++'Duncan fertility'!$O$3)*N$30*$D$10</f>
        <v>2830.2779375</v>
      </c>
      <c r="V38" s="6"/>
      <c r="Y38" s="6">
        <f t="shared" si="4"/>
        <v>6062.3209039229687</v>
      </c>
      <c r="Z38" s="6">
        <f t="shared" si="5"/>
        <v>2303201.9129956407</v>
      </c>
    </row>
    <row r="39" spans="1:26" x14ac:dyDescent="0.25">
      <c r="A39" s="6"/>
      <c r="B39" s="5" t="s">
        <v>100</v>
      </c>
      <c r="C39" t="s">
        <v>112</v>
      </c>
      <c r="D39" s="10">
        <f>$D$23</f>
        <v>960.07281326927591</v>
      </c>
      <c r="E39" s="6"/>
      <c r="F39" s="6"/>
      <c r="G39" s="6">
        <f>$G$31</f>
        <v>200.88251446148439</v>
      </c>
      <c r="H39" s="6">
        <f t="shared" si="6"/>
        <v>200.88251446148439</v>
      </c>
      <c r="M39" s="6">
        <f>M$31</f>
        <v>2830.2779375</v>
      </c>
      <c r="N39" s="6">
        <f>(1++'Duncan fertility'!$O$3)*N$30</f>
        <v>2830.2779375</v>
      </c>
      <c r="V39" s="6"/>
      <c r="Y39" s="6">
        <f t="shared" si="4"/>
        <v>6062.3209039229687</v>
      </c>
      <c r="Z39" s="6">
        <f t="shared" si="5"/>
        <v>5820269.485170464</v>
      </c>
    </row>
    <row r="40" spans="1:26" x14ac:dyDescent="0.25">
      <c r="A40" s="6"/>
      <c r="B40" s="5" t="s">
        <v>104</v>
      </c>
      <c r="C40" t="s">
        <v>123</v>
      </c>
      <c r="D40" s="6">
        <f>B$2</f>
        <v>379.92081737296741</v>
      </c>
      <c r="E40" s="6">
        <f>E$15*$T$179</f>
        <v>2547.25014375</v>
      </c>
      <c r="F40" s="6">
        <f>F$18*$T$179</f>
        <v>2547.25014375</v>
      </c>
      <c r="G40" s="6"/>
      <c r="H40" s="6"/>
      <c r="M40" s="6"/>
      <c r="V40" s="6"/>
      <c r="Y40" s="6">
        <f t="shared" si="4"/>
        <v>5094.5002875</v>
      </c>
      <c r="Z40" s="6">
        <f t="shared" si="5"/>
        <v>1935506.7133338174</v>
      </c>
    </row>
    <row r="41" spans="1:26" x14ac:dyDescent="0.25">
      <c r="A41" s="6"/>
      <c r="B41" s="5" t="s">
        <v>105</v>
      </c>
      <c r="C41" t="s">
        <v>112</v>
      </c>
      <c r="D41" s="6">
        <f>B$1</f>
        <v>960.07281326927591</v>
      </c>
      <c r="E41" s="6">
        <f>E$15*$T$179</f>
        <v>2547.25014375</v>
      </c>
      <c r="F41" s="6">
        <f>F$18*$T$179</f>
        <v>2547.25014375</v>
      </c>
      <c r="G41" s="6"/>
      <c r="H41" s="6"/>
      <c r="M41" s="6"/>
      <c r="V41" s="6"/>
      <c r="Y41" s="6">
        <f t="shared" si="4"/>
        <v>5094.5002875</v>
      </c>
      <c r="Z41" s="6">
        <f t="shared" si="5"/>
        <v>4891091.2232212601</v>
      </c>
    </row>
    <row r="42" spans="1:26" x14ac:dyDescent="0.25">
      <c r="A42" s="6"/>
      <c r="B42" s="5" t="s">
        <v>196</v>
      </c>
      <c r="C42" s="6">
        <f>C$24</f>
        <v>359.83124505397723</v>
      </c>
      <c r="D42" s="10">
        <f>D24</f>
        <v>2300</v>
      </c>
      <c r="E42" s="6"/>
      <c r="F42" s="6"/>
      <c r="G42" s="6"/>
      <c r="M42" s="6"/>
      <c r="Y42" s="6"/>
      <c r="Z42" s="6">
        <f>C42*D42</f>
        <v>827611.86362414761</v>
      </c>
    </row>
    <row r="43" spans="1:26" x14ac:dyDescent="0.25">
      <c r="A43" s="6"/>
      <c r="B43" s="5" t="s">
        <v>497</v>
      </c>
      <c r="D43" s="6">
        <f>D25</f>
        <v>190</v>
      </c>
      <c r="E43" s="6">
        <f>E31+E32+E35+E37+E39+E41</f>
        <v>2547.25014375</v>
      </c>
      <c r="F43" s="6">
        <f>F37+F41</f>
        <v>2547.25014375</v>
      </c>
      <c r="G43" s="6">
        <f>G31+G32+G35+G37+G39+G41</f>
        <v>773.3976806767148</v>
      </c>
      <c r="H43" s="6">
        <f>H31+H32+H35+H37+H39+H41</f>
        <v>773.3976806767148</v>
      </c>
      <c r="M43" s="6">
        <f>M31+M32+M35+M37+M39+M41</f>
        <v>10896.570059375001</v>
      </c>
      <c r="N43" s="6">
        <f>N37+N41</f>
        <v>2830.2779375</v>
      </c>
      <c r="Y43" s="6">
        <f>SUM(E43:X43)</f>
        <v>20368.143645728429</v>
      </c>
      <c r="Z43" s="6">
        <f>D43*Y43</f>
        <v>3869947.2926884014</v>
      </c>
    </row>
    <row r="44" spans="1:26" x14ac:dyDescent="0.25">
      <c r="A44" s="6"/>
      <c r="B44" s="5" t="s">
        <v>128</v>
      </c>
      <c r="E44" s="6"/>
      <c r="F44" s="6"/>
      <c r="G44" s="6"/>
      <c r="H44" s="6"/>
      <c r="M44" s="6"/>
      <c r="Y44" s="6"/>
      <c r="Z44" s="6">
        <f>SUM(Z29:Z43)</f>
        <v>59305777.521950752</v>
      </c>
    </row>
    <row r="45" spans="1:26" x14ac:dyDescent="0.25">
      <c r="A45" s="6"/>
      <c r="B45" s="5" t="s">
        <v>654</v>
      </c>
      <c r="E45" s="6"/>
      <c r="F45" s="6"/>
      <c r="M45" s="6"/>
      <c r="V45" s="6"/>
      <c r="Y45" s="6">
        <f>Y31+Y32+Y33+Y34+Y35+Y36+Y37+Y39+Y41+Y38+Y40</f>
        <v>46904.426273122335</v>
      </c>
      <c r="Z45" s="6"/>
    </row>
    <row r="46" spans="1:26" x14ac:dyDescent="0.25">
      <c r="A46" s="6"/>
      <c r="B46" s="5"/>
      <c r="E46" s="6"/>
      <c r="F46" s="6"/>
      <c r="G46" s="6"/>
      <c r="H46" s="6"/>
      <c r="M46" s="6"/>
      <c r="Y46" s="6"/>
      <c r="Z46" s="6"/>
    </row>
    <row r="47" spans="1:26" x14ac:dyDescent="0.25">
      <c r="A47" s="6" t="s">
        <v>117</v>
      </c>
      <c r="B47" t="s">
        <v>156</v>
      </c>
      <c r="D47" s="10">
        <f>$D$13</f>
        <v>230572390.32921553</v>
      </c>
      <c r="E47" s="6"/>
      <c r="F47" s="6"/>
      <c r="G47" s="6"/>
      <c r="H47" s="6"/>
      <c r="M47" s="6"/>
      <c r="S47" s="6">
        <f>1.2*S49</f>
        <v>3396.333525</v>
      </c>
      <c r="T47" s="6">
        <f>1.2*T52</f>
        <v>3396.333525</v>
      </c>
      <c r="Y47" s="6">
        <f>S47+T47</f>
        <v>6792.66705</v>
      </c>
      <c r="Z47" s="6">
        <f>0.2*Z11/4</f>
        <v>15308751.368618522</v>
      </c>
    </row>
    <row r="48" spans="1:26" x14ac:dyDescent="0.25">
      <c r="A48" s="6"/>
      <c r="B48" t="s">
        <v>195</v>
      </c>
      <c r="D48" s="10"/>
      <c r="E48" s="6"/>
      <c r="F48" s="6"/>
      <c r="G48" s="6"/>
      <c r="H48" s="6"/>
      <c r="M48" s="6"/>
      <c r="S48" s="6">
        <f>$C$5*$C$7</f>
        <v>2762.5</v>
      </c>
      <c r="T48" s="6">
        <f>$C$5*(1-$C$7)</f>
        <v>2762.5</v>
      </c>
      <c r="Y48" s="6"/>
      <c r="Z48" s="6"/>
    </row>
    <row r="49" spans="1:26" x14ac:dyDescent="0.25">
      <c r="A49" s="6"/>
      <c r="B49" s="5" t="s">
        <v>94</v>
      </c>
      <c r="C49" t="s">
        <v>112</v>
      </c>
      <c r="D49" s="10">
        <f>$D$15</f>
        <v>960.07281326927591</v>
      </c>
      <c r="G49" s="6"/>
      <c r="H49" s="6"/>
      <c r="I49" s="7">
        <f>+'Duncan fertility'!$O$5*$E$18*$T$182</f>
        <v>299.4786285964322</v>
      </c>
      <c r="J49" s="6">
        <f>+'Duncan fertility'!$O$5*$F$18*$T$182</f>
        <v>299.4786285964322</v>
      </c>
      <c r="M49" s="6"/>
      <c r="O49" s="7">
        <f>+'Duncan fertility'!$O$4*$M$34*$T$179</f>
        <v>200.88251446148439</v>
      </c>
      <c r="P49" s="6">
        <f>+'Duncan fertility'!$O$4*$N$34*$T$179</f>
        <v>200.88251446148439</v>
      </c>
      <c r="Q49" s="6"/>
      <c r="R49" s="6"/>
      <c r="S49" s="6">
        <f>(1++'Duncan fertility'!$O$3)*S48</f>
        <v>2830.2779375</v>
      </c>
      <c r="T49" s="6"/>
      <c r="Y49" s="6">
        <f t="shared" ref="Y49:Y61" si="7">SUM(E49:X49)</f>
        <v>3831.0002236158334</v>
      </c>
      <c r="Z49" s="6">
        <f t="shared" ref="Z49:Z61" si="8">Y49*D49</f>
        <v>3678039.1623220784</v>
      </c>
    </row>
    <row r="50" spans="1:26" x14ac:dyDescent="0.25">
      <c r="A50" s="6"/>
      <c r="B50" s="5" t="s">
        <v>95</v>
      </c>
      <c r="C50" t="s">
        <v>112</v>
      </c>
      <c r="D50" s="10">
        <f>$D$16</f>
        <v>960.07281326927591</v>
      </c>
      <c r="G50" s="6"/>
      <c r="H50" s="6"/>
      <c r="I50" s="7">
        <f>+'Duncan fertility'!$O$5*$E$18*$T$182*$C$8</f>
        <v>209.63504001750252</v>
      </c>
      <c r="J50" s="7">
        <f>+'Duncan fertility'!$O$5*$F$18*$T$182*$C$8</f>
        <v>209.63504001750252</v>
      </c>
      <c r="M50" s="6"/>
      <c r="O50" s="7">
        <f>+'Duncan fertility'!$O$4*$M$34*$T$179*$C$8</f>
        <v>140.61776012303906</v>
      </c>
      <c r="P50" s="6">
        <f>+'Duncan fertility'!$O$4*$N$34*$T$179*$C$8</f>
        <v>140.61776012303906</v>
      </c>
      <c r="Q50" s="6"/>
      <c r="R50" s="6"/>
      <c r="S50" s="6">
        <f>S$49*$C$8</f>
        <v>1981.1945562499998</v>
      </c>
      <c r="T50" s="6"/>
      <c r="Y50" s="6">
        <f t="shared" si="7"/>
        <v>2681.7001565310829</v>
      </c>
      <c r="Z50" s="6">
        <f t="shared" si="8"/>
        <v>2574627.4136254545</v>
      </c>
    </row>
    <row r="51" spans="1:26" x14ac:dyDescent="0.25">
      <c r="A51" s="6"/>
      <c r="B51" s="5"/>
      <c r="D51" s="10"/>
      <c r="G51" s="6"/>
      <c r="H51" s="6"/>
      <c r="I51" s="6"/>
      <c r="J51" s="6"/>
      <c r="M51" s="6"/>
      <c r="N51" s="6"/>
      <c r="O51" s="6"/>
      <c r="P51" s="6"/>
      <c r="Q51" s="6"/>
      <c r="R51" s="6"/>
      <c r="S51" s="6"/>
      <c r="T51" s="6"/>
      <c r="Y51" s="6"/>
      <c r="Z51" s="6"/>
    </row>
    <row r="52" spans="1:26" x14ac:dyDescent="0.25">
      <c r="A52" s="6"/>
      <c r="B52" s="5" t="s">
        <v>197</v>
      </c>
      <c r="C52" s="10"/>
      <c r="D52" s="10">
        <f>$C$18</f>
        <v>214.99599999999998</v>
      </c>
      <c r="G52" s="6"/>
      <c r="H52" s="6"/>
      <c r="I52" s="7">
        <f>+'Duncan fertility'!$O$5*$E$18*$T$182</f>
        <v>299.4786285964322</v>
      </c>
      <c r="J52" s="7">
        <f>+'Duncan fertility'!$O$5*$F$18*$T$182</f>
        <v>299.4786285964322</v>
      </c>
      <c r="M52" s="6"/>
      <c r="O52" s="7">
        <f>+'Duncan fertility'!$O$4*$M$34*$T$179</f>
        <v>200.88251446148439</v>
      </c>
      <c r="P52" s="6">
        <f>+'Duncan fertility'!$O$4*$N$34*$T$179</f>
        <v>200.88251446148439</v>
      </c>
      <c r="Q52" s="6"/>
      <c r="R52" s="6"/>
      <c r="S52" s="6">
        <f>S$49</f>
        <v>2830.2779375</v>
      </c>
      <c r="T52" s="6">
        <f>(1++'Duncan fertility'!$O$3)*T$48</f>
        <v>2830.2779375</v>
      </c>
      <c r="Y52" s="6">
        <f t="shared" ref="Y52" si="9">SUM(E52:X52)</f>
        <v>6661.2781611158334</v>
      </c>
      <c r="Z52" s="6">
        <f>Y52*D52</f>
        <v>1432148.1595272596</v>
      </c>
    </row>
    <row r="53" spans="1:26" x14ac:dyDescent="0.25">
      <c r="A53" s="6"/>
      <c r="B53" s="5" t="s">
        <v>200</v>
      </c>
      <c r="C53" t="s">
        <v>112</v>
      </c>
      <c r="D53" s="10">
        <f>$D$19</f>
        <v>960.07281326927591</v>
      </c>
      <c r="E53" s="6"/>
      <c r="F53" s="6"/>
      <c r="G53" s="6"/>
      <c r="H53" s="6"/>
      <c r="I53" s="7">
        <f>+'Duncan fertility'!$O$5*$E$18*$T$182*$C$9</f>
        <v>44.921794289464827</v>
      </c>
      <c r="J53" s="7">
        <f>+'Duncan fertility'!$O$5*$F$18*$T$182*$C$9</f>
        <v>44.921794289464827</v>
      </c>
      <c r="M53" s="6"/>
      <c r="O53" s="7">
        <f>+'Duncan fertility'!$O$4*$M$34*$T$179*$C$9</f>
        <v>30.132377169222657</v>
      </c>
      <c r="P53" s="6">
        <f>+'Duncan fertility'!$O$4*$N$34*$T$179*$C$9</f>
        <v>30.132377169222657</v>
      </c>
      <c r="Q53" s="6"/>
      <c r="R53" s="6"/>
      <c r="S53" s="6">
        <f>S$49*$C$9</f>
        <v>424.541690625</v>
      </c>
      <c r="T53" s="6">
        <f>(1++'Duncan fertility'!$O$3)*T$48*$C$9</f>
        <v>424.541690625</v>
      </c>
      <c r="Y53" s="6">
        <f t="shared" si="7"/>
        <v>999.19172416737501</v>
      </c>
      <c r="Z53" s="6">
        <f>Y52*D53</f>
        <v>6395312.0641116668</v>
      </c>
    </row>
    <row r="54" spans="1:26" x14ac:dyDescent="0.25">
      <c r="A54" s="6"/>
      <c r="B54" s="5" t="s">
        <v>97</v>
      </c>
      <c r="C54" t="s">
        <v>123</v>
      </c>
      <c r="D54" s="10">
        <f>$D$20</f>
        <v>379.92081737296741</v>
      </c>
      <c r="E54" s="6"/>
      <c r="F54" s="6"/>
      <c r="G54" s="6"/>
      <c r="H54" s="6"/>
      <c r="I54" s="7">
        <f>+'Duncan fertility'!$O$5*$E$18*$T$182</f>
        <v>299.4786285964322</v>
      </c>
      <c r="J54" s="7">
        <f>+'Duncan fertility'!$O$5*$F$18*$T$182</f>
        <v>299.4786285964322</v>
      </c>
      <c r="M54" s="6"/>
      <c r="O54" s="7">
        <f>+'Duncan fertility'!$O$4*$M$34*$T$179</f>
        <v>200.88251446148439</v>
      </c>
      <c r="P54" s="6">
        <f>+'Duncan fertility'!$O$4*$N$34*$T$179</f>
        <v>200.88251446148439</v>
      </c>
      <c r="Q54" s="6"/>
      <c r="R54" s="6"/>
      <c r="S54" s="6">
        <f>S$49</f>
        <v>2830.2779375</v>
      </c>
      <c r="T54" s="6">
        <f>(1++'Duncan fertility'!$O$3)*T$48</f>
        <v>2830.2779375</v>
      </c>
      <c r="Y54" s="6">
        <f t="shared" si="7"/>
        <v>6661.2781611158334</v>
      </c>
      <c r="Z54" s="6">
        <f t="shared" si="8"/>
        <v>2530758.2437198246</v>
      </c>
    </row>
    <row r="55" spans="1:26" x14ac:dyDescent="0.25">
      <c r="A55" s="6"/>
      <c r="B55" s="5" t="s">
        <v>98</v>
      </c>
      <c r="C55" t="s">
        <v>112</v>
      </c>
      <c r="D55" s="10">
        <f>$D$21</f>
        <v>960.07281326927591</v>
      </c>
      <c r="E55" s="6"/>
      <c r="F55" s="6"/>
      <c r="G55" s="6"/>
      <c r="H55" s="6"/>
      <c r="I55" s="7">
        <f>+'Duncan fertility'!$O$5*$E$18*$T$182*$C$10</f>
        <v>299.4786285964322</v>
      </c>
      <c r="J55" s="7">
        <f>+'Duncan fertility'!$O$5*$F$18*$T$182*$C$10</f>
        <v>299.4786285964322</v>
      </c>
      <c r="K55" s="6"/>
      <c r="L55" s="6"/>
      <c r="M55" s="6"/>
      <c r="O55" s="7">
        <f>+'Duncan fertility'!$O$4*$M$34*$T$179*$C$10</f>
        <v>200.88251446148439</v>
      </c>
      <c r="P55" s="6">
        <f>+'Duncan fertility'!$O$4*$N$34*$T$179*$C$10</f>
        <v>200.88251446148439</v>
      </c>
      <c r="Q55" s="6"/>
      <c r="R55" s="6"/>
      <c r="S55" s="6">
        <f>S$49*$C$10</f>
        <v>2830.2779375</v>
      </c>
      <c r="T55" s="6">
        <f>(1++'Duncan fertility'!$O$3)*T$48*$C$10</f>
        <v>2830.2779375</v>
      </c>
      <c r="Y55" s="6">
        <f t="shared" si="7"/>
        <v>6661.2781611158334</v>
      </c>
      <c r="Z55" s="6">
        <f t="shared" si="8"/>
        <v>6395312.0641116668</v>
      </c>
    </row>
    <row r="56" spans="1:26" x14ac:dyDescent="0.25">
      <c r="A56" s="6"/>
      <c r="B56" s="5" t="s">
        <v>99</v>
      </c>
      <c r="C56" t="s">
        <v>123</v>
      </c>
      <c r="D56" s="10">
        <f>$D$22</f>
        <v>379.92081737296741</v>
      </c>
      <c r="E56" s="6"/>
      <c r="F56" s="6"/>
      <c r="G56" s="6"/>
      <c r="H56" s="6"/>
      <c r="I56" s="7">
        <f>+'Duncan fertility'!$O$5*$E$18*$T$182*$D$10</f>
        <v>299.4786285964322</v>
      </c>
      <c r="J56" s="7">
        <f>+'Duncan fertility'!$O$5*$F$18*$T$182*$D$10</f>
        <v>299.4786285964322</v>
      </c>
      <c r="K56" s="6"/>
      <c r="L56" s="6"/>
      <c r="M56" s="6"/>
      <c r="N56" s="6"/>
      <c r="O56" s="7">
        <f>+'Duncan fertility'!$O$4*$M$34*$T$179*$D$10</f>
        <v>200.88251446148439</v>
      </c>
      <c r="P56" s="6">
        <f>+'Duncan fertility'!$O$4*$N$34*$T$179*$D$10</f>
        <v>200.88251446148439</v>
      </c>
      <c r="Q56" s="6"/>
      <c r="R56" s="6"/>
      <c r="S56" s="6">
        <f>S$49*$D$10</f>
        <v>2830.2779375</v>
      </c>
      <c r="T56" s="6">
        <f>(1++'Duncan fertility'!$O$3)*T$48*$D$10</f>
        <v>2830.2779375</v>
      </c>
      <c r="Y56" s="6">
        <f t="shared" si="7"/>
        <v>6661.2781611158334</v>
      </c>
      <c r="Z56" s="6">
        <f t="shared" si="8"/>
        <v>2530758.2437198246</v>
      </c>
    </row>
    <row r="57" spans="1:26" x14ac:dyDescent="0.25">
      <c r="A57" s="6"/>
      <c r="B57" s="5" t="s">
        <v>100</v>
      </c>
      <c r="C57" t="s">
        <v>112</v>
      </c>
      <c r="D57" s="10">
        <f>$D$23</f>
        <v>960.07281326927591</v>
      </c>
      <c r="E57" s="6"/>
      <c r="F57" s="6"/>
      <c r="G57" s="6"/>
      <c r="H57" s="6"/>
      <c r="I57" s="7">
        <f>+'Duncan fertility'!$O$5*$E$18*$T$182</f>
        <v>299.4786285964322</v>
      </c>
      <c r="J57" s="7">
        <f>+'Duncan fertility'!$O$5*$F$18*$T$182</f>
        <v>299.4786285964322</v>
      </c>
      <c r="K57" s="6"/>
      <c r="L57" s="6"/>
      <c r="M57" s="6"/>
      <c r="N57" s="6"/>
      <c r="O57" s="7">
        <f>+'Duncan fertility'!$O$4*$M$34*$T$179</f>
        <v>200.88251446148439</v>
      </c>
      <c r="P57" s="6">
        <f>+'Duncan fertility'!$O$4*$N$34*$T$179</f>
        <v>200.88251446148439</v>
      </c>
      <c r="Q57" s="6"/>
      <c r="R57" s="6"/>
      <c r="S57" s="6">
        <f>S$49</f>
        <v>2830.2779375</v>
      </c>
      <c r="T57" s="6">
        <f>(1++'Duncan fertility'!$O$3)*T$48</f>
        <v>2830.2779375</v>
      </c>
      <c r="Y57" s="6">
        <f t="shared" si="7"/>
        <v>6661.2781611158334</v>
      </c>
      <c r="Z57" s="6">
        <f t="shared" si="8"/>
        <v>6395312.0641116668</v>
      </c>
    </row>
    <row r="58" spans="1:26" x14ac:dyDescent="0.25">
      <c r="A58" s="6"/>
      <c r="B58" s="5" t="s">
        <v>104</v>
      </c>
      <c r="C58" t="s">
        <v>123</v>
      </c>
      <c r="D58" s="10">
        <f>$D$40</f>
        <v>379.92081737296741</v>
      </c>
      <c r="E58" s="6"/>
      <c r="F58" s="6"/>
      <c r="G58" s="7">
        <f>+'Duncan fertility'!$O$4*$E$18*$T$182</f>
        <v>194.18643064610157</v>
      </c>
      <c r="H58" s="7">
        <f>+'Duncan fertility'!$O$4*$F$18*$T$182</f>
        <v>194.18643064610157</v>
      </c>
      <c r="I58" s="6"/>
      <c r="J58" s="6"/>
      <c r="K58" s="6"/>
      <c r="L58" s="6"/>
      <c r="M58" s="6">
        <f>M$31*$T$179</f>
        <v>2547.25014375</v>
      </c>
      <c r="N58" s="6">
        <f>N$34*$T$179</f>
        <v>2547.25014375</v>
      </c>
      <c r="O58" s="6"/>
      <c r="P58" s="6"/>
      <c r="Q58" s="6"/>
      <c r="R58" s="6"/>
      <c r="S58" s="6"/>
      <c r="T58" s="6"/>
      <c r="Y58" s="6">
        <f t="shared" si="7"/>
        <v>5482.8731487922032</v>
      </c>
      <c r="Z58" s="6">
        <f t="shared" si="8"/>
        <v>2083057.6482414294</v>
      </c>
    </row>
    <row r="59" spans="1:26" x14ac:dyDescent="0.25">
      <c r="A59" s="6"/>
      <c r="B59" s="5" t="s">
        <v>105</v>
      </c>
      <c r="C59" t="s">
        <v>112</v>
      </c>
      <c r="D59" s="10">
        <f>$D$41</f>
        <v>960.07281326927591</v>
      </c>
      <c r="E59" s="6"/>
      <c r="F59" s="6"/>
      <c r="G59" s="7">
        <f>+'Duncan fertility'!$O$4*$E$18*$T$182</f>
        <v>194.18643064610157</v>
      </c>
      <c r="H59" s="7">
        <f>+'Duncan fertility'!$O$4*$F$18*$T$182</f>
        <v>194.18643064610157</v>
      </c>
      <c r="I59" s="6"/>
      <c r="J59" s="6"/>
      <c r="K59" s="6"/>
      <c r="L59" s="6"/>
      <c r="M59" s="6">
        <f>M$31*$T$179</f>
        <v>2547.25014375</v>
      </c>
      <c r="N59" s="6">
        <f>N$34*$T$179</f>
        <v>2547.25014375</v>
      </c>
      <c r="O59" s="6"/>
      <c r="P59" s="6"/>
      <c r="Q59" s="6"/>
      <c r="R59" s="6"/>
      <c r="S59" s="6"/>
      <c r="T59" s="6"/>
      <c r="Y59" s="6">
        <f t="shared" si="7"/>
        <v>5482.8731487922032</v>
      </c>
      <c r="Z59" s="6">
        <f t="shared" si="8"/>
        <v>5263957.4487595037</v>
      </c>
    </row>
    <row r="60" spans="1:26" x14ac:dyDescent="0.25">
      <c r="A60" s="6"/>
      <c r="B60" s="5" t="s">
        <v>106</v>
      </c>
      <c r="C60" t="s">
        <v>123</v>
      </c>
      <c r="D60" s="6">
        <f>B$2</f>
        <v>379.92081737296741</v>
      </c>
      <c r="E60" s="6">
        <f>E$15*$T$182</f>
        <v>2462.3418056249998</v>
      </c>
      <c r="F60" s="6">
        <f>F$18*$T$182</f>
        <v>2462.3418056249998</v>
      </c>
      <c r="G60" s="6"/>
      <c r="H60" s="6"/>
      <c r="M60" s="6"/>
      <c r="N60" s="6"/>
      <c r="O60" s="6"/>
      <c r="P60" s="6"/>
      <c r="Q60" s="6"/>
      <c r="R60" s="6"/>
      <c r="S60" s="6"/>
      <c r="T60" s="6"/>
      <c r="Y60" s="6">
        <f t="shared" si="7"/>
        <v>4924.6836112499996</v>
      </c>
      <c r="Z60" s="6">
        <f t="shared" si="8"/>
        <v>1870989.8228893566</v>
      </c>
    </row>
    <row r="61" spans="1:26" x14ac:dyDescent="0.25">
      <c r="A61" s="6"/>
      <c r="B61" s="5" t="s">
        <v>107</v>
      </c>
      <c r="C61" t="s">
        <v>112</v>
      </c>
      <c r="D61" s="6">
        <f>B$1</f>
        <v>960.07281326927591</v>
      </c>
      <c r="E61" s="6">
        <f>E$15*$T$182</f>
        <v>2462.3418056249998</v>
      </c>
      <c r="F61" s="6">
        <f>F$18*$T$182</f>
        <v>2462.3418056249998</v>
      </c>
      <c r="G61" s="6"/>
      <c r="H61" s="6"/>
      <c r="M61" s="6"/>
      <c r="N61" s="6"/>
      <c r="O61" s="6"/>
      <c r="P61" s="6"/>
      <c r="Q61" s="6"/>
      <c r="R61" s="6"/>
      <c r="S61" s="6"/>
      <c r="T61" s="6"/>
      <c r="Y61" s="6">
        <f t="shared" si="7"/>
        <v>4924.6836112499996</v>
      </c>
      <c r="Z61" s="6">
        <f t="shared" si="8"/>
        <v>4728054.8491138844</v>
      </c>
    </row>
    <row r="62" spans="1:26" x14ac:dyDescent="0.25">
      <c r="A62" s="6"/>
      <c r="B62" s="5" t="s">
        <v>196</v>
      </c>
      <c r="C62" s="6">
        <f>C$24</f>
        <v>359.83124505397723</v>
      </c>
      <c r="D62" s="10">
        <f>D24</f>
        <v>2300</v>
      </c>
      <c r="E62" s="6"/>
      <c r="F62" s="6"/>
      <c r="H62" s="6"/>
      <c r="M62" s="6"/>
      <c r="O62" s="6"/>
      <c r="T62" s="6"/>
      <c r="Y62" s="6"/>
      <c r="Z62" s="6">
        <f>C62*D62</f>
        <v>827611.86362414761</v>
      </c>
    </row>
    <row r="63" spans="1:26" x14ac:dyDescent="0.25">
      <c r="A63" s="6"/>
      <c r="B63" s="5" t="s">
        <v>497</v>
      </c>
      <c r="D63" s="10">
        <f>D25</f>
        <v>190</v>
      </c>
      <c r="E63" s="6">
        <f>E49+E50+E53+E55+E57+E59+E61</f>
        <v>2462.3418056249998</v>
      </c>
      <c r="F63" s="6">
        <f t="shared" ref="F63:J63" si="10">F49+F50+F53+F55+F57+F59+F61</f>
        <v>2462.3418056249998</v>
      </c>
      <c r="G63" s="6">
        <f t="shared" si="10"/>
        <v>194.18643064610157</v>
      </c>
      <c r="H63" s="6">
        <f t="shared" si="10"/>
        <v>194.18643064610157</v>
      </c>
      <c r="I63" s="6">
        <f>I49+I50+I53+I55+I57+I59+I61</f>
        <v>1152.9927200962638</v>
      </c>
      <c r="J63" s="6">
        <f t="shared" si="10"/>
        <v>1152.9927200962638</v>
      </c>
      <c r="M63" s="6">
        <f t="shared" ref="M63:P63" si="11">M49+M50+M53+M55+M57+M59+M61</f>
        <v>2547.25014375</v>
      </c>
      <c r="N63" s="6">
        <f t="shared" si="11"/>
        <v>2547.25014375</v>
      </c>
      <c r="O63" s="6">
        <f t="shared" si="11"/>
        <v>773.3976806767148</v>
      </c>
      <c r="P63" s="6">
        <f t="shared" si="11"/>
        <v>773.3976806767148</v>
      </c>
      <c r="S63" s="6">
        <f t="shared" ref="S63:T63" si="12">S49+S50+S53+S55+S57+S59+S61</f>
        <v>10896.570059375001</v>
      </c>
      <c r="T63" s="6">
        <f t="shared" si="12"/>
        <v>6085.0975656250002</v>
      </c>
      <c r="Y63" s="6">
        <f>SUM(E63:X63)</f>
        <v>31242.005186588161</v>
      </c>
      <c r="Z63" s="6">
        <f>D63*Y63</f>
        <v>5935980.9854517505</v>
      </c>
    </row>
    <row r="64" spans="1:26" x14ac:dyDescent="0.25">
      <c r="A64" s="6"/>
      <c r="B64" s="5" t="s">
        <v>129</v>
      </c>
      <c r="E64" s="6"/>
      <c r="F64" s="6"/>
      <c r="G64" s="6"/>
      <c r="H64" s="6"/>
      <c r="M64" s="6"/>
      <c r="S64" s="6"/>
      <c r="T64" s="6"/>
      <c r="Y64" s="6"/>
      <c r="Z64" s="6">
        <f>SUM(Z47:Z63)</f>
        <v>67950671.401948035</v>
      </c>
    </row>
    <row r="65" spans="1:26" x14ac:dyDescent="0.25">
      <c r="A65" s="6"/>
      <c r="B65" s="5" t="s">
        <v>654</v>
      </c>
      <c r="E65" s="6"/>
      <c r="F65" s="6"/>
      <c r="M65" s="6"/>
      <c r="V65" s="6"/>
      <c r="Y65" s="6">
        <f>Y49+Y50+Y52+Y53+Y54+Y55+Y56+Y57+Y59+Y61+Y58+Y60</f>
        <v>61633.396429977875</v>
      </c>
      <c r="Z65" s="6"/>
    </row>
    <row r="66" spans="1:26" x14ac:dyDescent="0.25">
      <c r="A66" s="6"/>
      <c r="B66" s="5"/>
      <c r="E66" s="6"/>
      <c r="F66" s="6"/>
      <c r="G66" s="6"/>
      <c r="H66" s="6"/>
      <c r="M66" s="6"/>
      <c r="S66" s="6"/>
      <c r="T66" s="6"/>
      <c r="Y66" s="6"/>
      <c r="Z66" s="6"/>
    </row>
    <row r="67" spans="1:26" x14ac:dyDescent="0.25">
      <c r="A67" s="6" t="s">
        <v>118</v>
      </c>
      <c r="B67" t="s">
        <v>156</v>
      </c>
      <c r="D67" s="10">
        <f>$D$13</f>
        <v>230572390.32921553</v>
      </c>
      <c r="E67" s="6"/>
      <c r="F67" s="6"/>
      <c r="G67" s="6"/>
      <c r="H67" s="6"/>
      <c r="M67" s="6"/>
      <c r="N67" s="6"/>
      <c r="S67" s="6"/>
      <c r="T67" s="6"/>
      <c r="W67" s="6">
        <f>1.2*W$69</f>
        <v>3396.333525</v>
      </c>
      <c r="X67" s="6">
        <f>1.2*X$72</f>
        <v>3396.333525</v>
      </c>
      <c r="Y67" s="6">
        <f>W67+X67</f>
        <v>6792.66705</v>
      </c>
      <c r="Z67" s="3">
        <f>0.15*Z11/4</f>
        <v>11481563.52646389</v>
      </c>
    </row>
    <row r="68" spans="1:26" x14ac:dyDescent="0.25">
      <c r="A68" s="6"/>
      <c r="B68" t="s">
        <v>195</v>
      </c>
      <c r="D68" s="10"/>
      <c r="E68" s="6"/>
      <c r="F68" s="6"/>
      <c r="G68" s="6"/>
      <c r="H68" s="6"/>
      <c r="M68" s="6"/>
      <c r="S68" s="6"/>
      <c r="T68" s="6"/>
      <c r="W68" s="6">
        <f>$C$5*$C$7</f>
        <v>2762.5</v>
      </c>
      <c r="X68" s="6">
        <f>$C$5*(1-$C$7)</f>
        <v>2762.5</v>
      </c>
      <c r="Y68" s="6"/>
      <c r="Z68" s="3"/>
    </row>
    <row r="69" spans="1:26" x14ac:dyDescent="0.25">
      <c r="A69" s="6"/>
      <c r="B69" s="5" t="s">
        <v>94</v>
      </c>
      <c r="D69" s="10">
        <f>$D$15</f>
        <v>960.07281326927591</v>
      </c>
      <c r="G69" s="6"/>
      <c r="H69" s="6"/>
      <c r="I69" s="6"/>
      <c r="K69" s="7">
        <f>+'Duncan fertility'!$O$6*$E$18*T$185</f>
        <v>248.74711358625783</v>
      </c>
      <c r="L69" s="7">
        <f>+'Duncan fertility'!$O$6*$F$18*$T$185</f>
        <v>248.74711358625783</v>
      </c>
      <c r="M69" s="6"/>
      <c r="Q69" s="6">
        <f>+'Duncan fertility'!$O$5*$M$31*$T$182</f>
        <v>299.4786285964322</v>
      </c>
      <c r="R69" s="6">
        <f>+'Duncan fertility'!$O$5*$N$34*$T$182</f>
        <v>299.4786285964322</v>
      </c>
      <c r="S69" s="6"/>
      <c r="T69" s="6"/>
      <c r="U69" s="6">
        <f>+'Duncan fertility'!$O$4*S$49*$T$179</f>
        <v>200.88251446148439</v>
      </c>
      <c r="V69" s="6">
        <f>+'Duncan fertility'!$O$4*T$52*$T$179</f>
        <v>200.88251446148439</v>
      </c>
      <c r="W69" s="6">
        <f>(1++'Duncan fertility'!$O$3)*W68</f>
        <v>2830.2779375</v>
      </c>
      <c r="X69" s="6"/>
      <c r="Y69" s="6">
        <f t="shared" ref="Y69:Y83" si="13">SUM(E69:X69)</f>
        <v>4328.4944507883483</v>
      </c>
      <c r="Z69" s="3">
        <f t="shared" ref="Z69:Z83" si="14">Y69*D69</f>
        <v>4155669.844588819</v>
      </c>
    </row>
    <row r="70" spans="1:26" x14ac:dyDescent="0.25">
      <c r="A70" s="6"/>
      <c r="B70" s="5" t="s">
        <v>95</v>
      </c>
      <c r="D70" s="10">
        <f>$D$16</f>
        <v>960.07281326927591</v>
      </c>
      <c r="G70" s="6"/>
      <c r="H70" s="6"/>
      <c r="K70" s="7">
        <f>+'Duncan fertility'!$O$6*$E$18*T$185*$C$8</f>
        <v>174.12297951038047</v>
      </c>
      <c r="L70" s="7">
        <f>+'Duncan fertility'!$O$6*$F$18*$T$185*$C$8</f>
        <v>174.12297951038047</v>
      </c>
      <c r="M70" s="6"/>
      <c r="N70" s="6"/>
      <c r="O70" s="6"/>
      <c r="P70" s="6"/>
      <c r="Q70" s="6">
        <f>+'Duncan fertility'!$O$5*$M$31*$T$182*$C$8</f>
        <v>209.63504001750252</v>
      </c>
      <c r="R70" s="6">
        <f>+'Duncan fertility'!$O$5*$N$34*$T$182*$C$8</f>
        <v>209.63504001750252</v>
      </c>
      <c r="S70" s="6"/>
      <c r="T70" s="6"/>
      <c r="U70" s="6">
        <f>+'Duncan fertility'!$O$4*S$49*$T$179*$C$8</f>
        <v>140.61776012303906</v>
      </c>
      <c r="V70" s="6">
        <f>+'Duncan fertility'!$O$4*T$52*$T$179*$C$8</f>
        <v>140.61776012303906</v>
      </c>
      <c r="W70" s="6">
        <f t="shared" ref="W70:W77" si="15">W$69</f>
        <v>2830.2779375</v>
      </c>
      <c r="X70" s="6"/>
      <c r="Y70" s="6">
        <f t="shared" si="13"/>
        <v>3879.0294968018443</v>
      </c>
      <c r="Z70" s="3">
        <f t="shared" si="14"/>
        <v>3724150.7617490506</v>
      </c>
    </row>
    <row r="71" spans="1:26" x14ac:dyDescent="0.25">
      <c r="A71" s="6"/>
      <c r="B71" s="5"/>
      <c r="D71" s="10"/>
      <c r="G71" s="6"/>
      <c r="H71" s="6"/>
      <c r="K71" s="6"/>
      <c r="L71" s="6"/>
      <c r="M71" s="6"/>
      <c r="N71" s="6"/>
      <c r="O71" s="6"/>
      <c r="P71" s="6"/>
      <c r="Q71" s="6"/>
      <c r="R71" s="6"/>
      <c r="S71" s="6"/>
      <c r="T71" s="6"/>
      <c r="U71" s="6"/>
      <c r="V71" s="6"/>
      <c r="W71" s="6"/>
      <c r="X71" s="6"/>
      <c r="Y71" s="6"/>
      <c r="Z71" s="3"/>
    </row>
    <row r="72" spans="1:26" x14ac:dyDescent="0.25">
      <c r="A72" s="6"/>
      <c r="B72" s="5" t="s">
        <v>197</v>
      </c>
      <c r="C72" s="10"/>
      <c r="D72" s="10">
        <f>$C$18</f>
        <v>214.99599999999998</v>
      </c>
      <c r="G72" s="6"/>
      <c r="H72" s="6"/>
      <c r="K72" s="7">
        <f>+'Duncan fertility'!$O$6*$E$18*T$185</f>
        <v>248.74711358625783</v>
      </c>
      <c r="L72" s="7">
        <f>+'Duncan fertility'!$O$6*$F$18*$T$185</f>
        <v>248.74711358625783</v>
      </c>
      <c r="M72" s="6"/>
      <c r="N72" s="6"/>
      <c r="O72" s="6"/>
      <c r="P72" s="6"/>
      <c r="Q72" s="6">
        <f>+'Duncan fertility'!$O$5*$M$31*$T$182</f>
        <v>299.4786285964322</v>
      </c>
      <c r="R72" s="6">
        <f>+'Duncan fertility'!$O$5*$N$34*$T$182</f>
        <v>299.4786285964322</v>
      </c>
      <c r="S72" s="6"/>
      <c r="T72" s="6"/>
      <c r="U72" s="6">
        <f>+'Duncan fertility'!$O$4*S$49*$T$179</f>
        <v>200.88251446148439</v>
      </c>
      <c r="V72" s="6">
        <f>+'Duncan fertility'!$O$4*T$52*$T$179</f>
        <v>200.88251446148439</v>
      </c>
      <c r="W72" s="6">
        <f t="shared" si="15"/>
        <v>2830.2779375</v>
      </c>
      <c r="X72" s="6">
        <f>(1++'Duncan fertility'!$O$3)*X$68</f>
        <v>2830.2779375</v>
      </c>
      <c r="Y72" s="6">
        <f t="shared" ref="Y72" si="16">SUM(E72:X72)</f>
        <v>7158.7723882883483</v>
      </c>
      <c r="Z72" s="3">
        <f>Y72*D72</f>
        <v>1539107.4283924417</v>
      </c>
    </row>
    <row r="73" spans="1:26" x14ac:dyDescent="0.25">
      <c r="A73" s="6"/>
      <c r="B73" s="5" t="s">
        <v>200</v>
      </c>
      <c r="C73" t="s">
        <v>112</v>
      </c>
      <c r="D73" s="10">
        <f>$D$19</f>
        <v>960.07281326927591</v>
      </c>
      <c r="E73" s="6"/>
      <c r="F73" s="6"/>
      <c r="G73" s="6"/>
      <c r="H73" s="6"/>
      <c r="K73" s="7">
        <f>+'Duncan fertility'!$O$6*$E$18*T$185*$C$9</f>
        <v>37.312067037938675</v>
      </c>
      <c r="L73" s="7">
        <f>+'Duncan fertility'!$O$6*$F$18*$T$185*$C$9</f>
        <v>37.312067037938675</v>
      </c>
      <c r="M73" s="6"/>
      <c r="N73" s="6"/>
      <c r="O73" s="6"/>
      <c r="P73" s="6"/>
      <c r="Q73" s="6">
        <f>+'Duncan fertility'!$O$5*$M$31*$T$182*$C$9</f>
        <v>44.921794289464827</v>
      </c>
      <c r="R73" s="6">
        <f>+'Duncan fertility'!$O$5*$N$34*$T$182*$C$9</f>
        <v>44.921794289464827</v>
      </c>
      <c r="S73" s="6"/>
      <c r="T73" s="6"/>
      <c r="U73" s="6">
        <f>+'Duncan fertility'!$O$4*S$49*$T$179*$C$9</f>
        <v>30.132377169222657</v>
      </c>
      <c r="V73" s="6">
        <f>+'Duncan fertility'!$O$4*T$52*$T$179*$C$9</f>
        <v>30.132377169222657</v>
      </c>
      <c r="W73" s="6">
        <f>W$69*$C$9</f>
        <v>424.541690625</v>
      </c>
      <c r="X73" s="6">
        <f>(1++'Duncan fertility'!$O$3)*X$68*$C$9</f>
        <v>424.541690625</v>
      </c>
      <c r="Y73" s="6">
        <f t="shared" si="13"/>
        <v>1073.8158582432523</v>
      </c>
      <c r="Z73" s="3">
        <f>Y72*D73</f>
        <v>6872942.7463784078</v>
      </c>
    </row>
    <row r="74" spans="1:26" x14ac:dyDescent="0.25">
      <c r="A74" s="6"/>
      <c r="B74" s="5" t="s">
        <v>97</v>
      </c>
      <c r="C74" t="s">
        <v>123</v>
      </c>
      <c r="D74" s="10">
        <f>$D$20</f>
        <v>379.92081737296741</v>
      </c>
      <c r="E74" s="6"/>
      <c r="F74" s="6"/>
      <c r="G74" s="6"/>
      <c r="H74" s="6"/>
      <c r="K74" s="7">
        <f>+'Duncan fertility'!$O$6*$E$18*T$185</f>
        <v>248.74711358625783</v>
      </c>
      <c r="L74" s="7">
        <f>+'Duncan fertility'!$O$6*$F$18*$T$185</f>
        <v>248.74711358625783</v>
      </c>
      <c r="M74" s="6"/>
      <c r="N74" s="6"/>
      <c r="O74" s="6"/>
      <c r="P74" s="6"/>
      <c r="Q74" s="6">
        <f>+'Duncan fertility'!$O$5*$M$31*$T$182</f>
        <v>299.4786285964322</v>
      </c>
      <c r="R74" s="6">
        <f>+'Duncan fertility'!$O$5*$N$34*$T$182</f>
        <v>299.4786285964322</v>
      </c>
      <c r="S74" s="6"/>
      <c r="T74" s="6"/>
      <c r="U74" s="6">
        <f>+'Duncan fertility'!$O$4*S$49*$T$179</f>
        <v>200.88251446148439</v>
      </c>
      <c r="V74" s="6">
        <f>+'Duncan fertility'!$O$4*T$52*$T$179</f>
        <v>200.88251446148439</v>
      </c>
      <c r="W74" s="6">
        <f t="shared" si="15"/>
        <v>2830.2779375</v>
      </c>
      <c r="X74" s="6">
        <f>(1++'Duncan fertility'!$O$3)*X$68</f>
        <v>2830.2779375</v>
      </c>
      <c r="Y74" s="6">
        <f t="shared" si="13"/>
        <v>7158.7723882883483</v>
      </c>
      <c r="Z74" s="3">
        <f t="shared" si="14"/>
        <v>2719766.6571455393</v>
      </c>
    </row>
    <row r="75" spans="1:26" x14ac:dyDescent="0.25">
      <c r="A75" s="6"/>
      <c r="B75" s="5" t="s">
        <v>98</v>
      </c>
      <c r="C75" t="s">
        <v>112</v>
      </c>
      <c r="D75" s="10">
        <f>$D$21</f>
        <v>960.07281326927591</v>
      </c>
      <c r="E75" s="6"/>
      <c r="F75" s="6"/>
      <c r="G75" s="6"/>
      <c r="H75" s="6"/>
      <c r="K75" s="7">
        <f>+'Duncan fertility'!$O$6*$E$18*T$185*$C$10</f>
        <v>248.74711358625783</v>
      </c>
      <c r="L75" s="7">
        <f>+'Duncan fertility'!$O$6*$F$18*$T$185*$C$10</f>
        <v>248.74711358625783</v>
      </c>
      <c r="M75" s="6"/>
      <c r="N75" s="6"/>
      <c r="O75" s="6"/>
      <c r="P75" s="6"/>
      <c r="Q75" s="6">
        <f>+'Duncan fertility'!$O$5*$M$31*$T$182*$C$10</f>
        <v>299.4786285964322</v>
      </c>
      <c r="R75" s="6">
        <f>+'Duncan fertility'!$O$5*$N$34*$T$182*$C$10</f>
        <v>299.4786285964322</v>
      </c>
      <c r="S75" s="6"/>
      <c r="T75" s="6"/>
      <c r="U75" s="6">
        <f>+'Duncan fertility'!$O$4*S$49*$T$179*$C$10</f>
        <v>200.88251446148439</v>
      </c>
      <c r="V75" s="6">
        <f>+'Duncan fertility'!$O$4*T$52*$T$179*$C$10</f>
        <v>200.88251446148439</v>
      </c>
      <c r="W75" s="7">
        <f>W$69*$C$10</f>
        <v>2830.2779375</v>
      </c>
      <c r="X75" s="7">
        <f>(1++'Duncan fertility'!$O$3)*X$68*$C$10</f>
        <v>2830.2779375</v>
      </c>
      <c r="Y75" s="6">
        <f t="shared" si="13"/>
        <v>7158.7723882883483</v>
      </c>
      <c r="Z75" s="3">
        <f t="shared" si="14"/>
        <v>6872942.7463784078</v>
      </c>
    </row>
    <row r="76" spans="1:26" x14ac:dyDescent="0.25">
      <c r="A76" s="6"/>
      <c r="B76" s="5" t="s">
        <v>99</v>
      </c>
      <c r="C76" t="s">
        <v>123</v>
      </c>
      <c r="D76" s="10">
        <f>$D$22</f>
        <v>379.92081737296741</v>
      </c>
      <c r="E76" s="6"/>
      <c r="F76" s="6"/>
      <c r="G76" s="6"/>
      <c r="H76" s="6"/>
      <c r="K76" s="7">
        <f>+'Duncan fertility'!$O$6*$E$18*T$185*$D$10</f>
        <v>248.74711358625783</v>
      </c>
      <c r="L76" s="7">
        <f>+'Duncan fertility'!$O$6*$F$18*$T$185*$D$10</f>
        <v>248.74711358625783</v>
      </c>
      <c r="M76" s="6"/>
      <c r="N76" s="6"/>
      <c r="O76" s="6"/>
      <c r="P76" s="6"/>
      <c r="Q76" s="6">
        <f>+'Duncan fertility'!$O$5*$M$31*$T$182*$D$10</f>
        <v>299.4786285964322</v>
      </c>
      <c r="R76" s="6">
        <f>+'Duncan fertility'!$O$5*$N$34*$T$182*$D$10</f>
        <v>299.4786285964322</v>
      </c>
      <c r="S76" s="6"/>
      <c r="T76" s="6"/>
      <c r="U76" s="6">
        <f>+'Duncan fertility'!$O$4*S$49*$T$179*$D$10</f>
        <v>200.88251446148439</v>
      </c>
      <c r="V76" s="6">
        <f>+'Duncan fertility'!$O$4*T$52*$T$179*$D$10</f>
        <v>200.88251446148439</v>
      </c>
      <c r="W76" s="7">
        <f>W$69*$D$10</f>
        <v>2830.2779375</v>
      </c>
      <c r="X76" s="7">
        <f>(1++'Duncan fertility'!$O$3)*X$68*$D$10</f>
        <v>2830.2779375</v>
      </c>
      <c r="Y76" s="6">
        <f t="shared" si="13"/>
        <v>7158.7723882883483</v>
      </c>
      <c r="Z76" s="3">
        <f t="shared" si="14"/>
        <v>2719766.6571455393</v>
      </c>
    </row>
    <row r="77" spans="1:26" x14ac:dyDescent="0.25">
      <c r="A77" s="6"/>
      <c r="B77" s="5" t="s">
        <v>100</v>
      </c>
      <c r="C77" t="s">
        <v>112</v>
      </c>
      <c r="D77" s="10">
        <f>$D$23</f>
        <v>960.07281326927591</v>
      </c>
      <c r="E77" s="6"/>
      <c r="F77" s="6"/>
      <c r="G77" s="6"/>
      <c r="H77" s="6"/>
      <c r="K77" s="7">
        <f>+'Duncan fertility'!$O$6*$E$18*T$185</f>
        <v>248.74711358625783</v>
      </c>
      <c r="L77" s="7">
        <f>+'Duncan fertility'!$O$6*$F$18*$T$185</f>
        <v>248.74711358625783</v>
      </c>
      <c r="M77" s="6"/>
      <c r="N77" s="6"/>
      <c r="O77" s="6"/>
      <c r="P77" s="6"/>
      <c r="Q77" s="6">
        <f>+'Duncan fertility'!$O$5*$M$31*$T$182</f>
        <v>299.4786285964322</v>
      </c>
      <c r="R77" s="6">
        <f>+'Duncan fertility'!$O$5*$N$34*$T$182</f>
        <v>299.4786285964322</v>
      </c>
      <c r="S77" s="6"/>
      <c r="T77" s="6"/>
      <c r="U77" s="6">
        <f>+'Duncan fertility'!$O$4*S$49*$T$179</f>
        <v>200.88251446148439</v>
      </c>
      <c r="V77" s="6">
        <f>+'Duncan fertility'!$O$4*T$52*$T$179</f>
        <v>200.88251446148439</v>
      </c>
      <c r="W77" s="6">
        <f t="shared" si="15"/>
        <v>2830.2779375</v>
      </c>
      <c r="X77" s="6">
        <f>(1++'Duncan fertility'!$O$3)*X$68</f>
        <v>2830.2779375</v>
      </c>
      <c r="Y77" s="6">
        <f t="shared" si="13"/>
        <v>7158.7723882883483</v>
      </c>
      <c r="Z77" s="3">
        <f t="shared" si="14"/>
        <v>6872942.7463784078</v>
      </c>
    </row>
    <row r="78" spans="1:26" x14ac:dyDescent="0.25">
      <c r="A78" s="6"/>
      <c r="B78" s="5" t="s">
        <v>104</v>
      </c>
      <c r="C78" t="s">
        <v>123</v>
      </c>
      <c r="D78" s="10">
        <f>$D$40</f>
        <v>379.92081737296741</v>
      </c>
      <c r="E78" s="6"/>
      <c r="F78" s="6"/>
      <c r="G78" s="6"/>
      <c r="H78" s="6"/>
      <c r="I78" s="6">
        <f>$I$49*$T$185</f>
        <v>254.55683430696737</v>
      </c>
      <c r="J78" s="6">
        <f>$J$49*$T$185</f>
        <v>254.55683430696737</v>
      </c>
      <c r="K78" s="6"/>
      <c r="L78" s="6"/>
      <c r="M78" s="6"/>
      <c r="N78" s="6"/>
      <c r="O78" s="6">
        <f>0.09*$M$34*$T$182</f>
        <v>221.61076250625001</v>
      </c>
      <c r="P78" s="6">
        <f>0.09*$N$34*T$182</f>
        <v>221.61076250625001</v>
      </c>
      <c r="Q78" s="6"/>
      <c r="R78" s="6"/>
      <c r="S78" s="6">
        <f>S$49*$T$179</f>
        <v>2547.25014375</v>
      </c>
      <c r="T78" s="6">
        <f>T$52*$T$179</f>
        <v>2547.25014375</v>
      </c>
      <c r="U78" s="6"/>
      <c r="V78" s="6"/>
      <c r="W78" s="6"/>
      <c r="X78" s="6"/>
      <c r="Y78" s="6">
        <f t="shared" si="13"/>
        <v>6046.8354811264344</v>
      </c>
      <c r="Z78" s="3">
        <f t="shared" si="14"/>
        <v>2297318.6785094156</v>
      </c>
    </row>
    <row r="79" spans="1:26" x14ac:dyDescent="0.25">
      <c r="A79" s="6"/>
      <c r="B79" s="5" t="s">
        <v>105</v>
      </c>
      <c r="C79" t="s">
        <v>112</v>
      </c>
      <c r="D79" s="10">
        <f>$D$41</f>
        <v>960.07281326927591</v>
      </c>
      <c r="E79" s="6"/>
      <c r="F79" s="6"/>
      <c r="G79" s="6"/>
      <c r="H79" s="6"/>
      <c r="I79" s="6">
        <f>$I$49*$T$185</f>
        <v>254.55683430696737</v>
      </c>
      <c r="J79" s="6">
        <f>$J$49*$T$185</f>
        <v>254.55683430696737</v>
      </c>
      <c r="K79" s="6"/>
      <c r="L79" s="6"/>
      <c r="M79" s="6"/>
      <c r="N79" s="6"/>
      <c r="O79" s="6">
        <f>0.09*$M$34*$T$182</f>
        <v>221.61076250625001</v>
      </c>
      <c r="P79" s="6">
        <f>0.09*$N$34*T$182</f>
        <v>221.61076250625001</v>
      </c>
      <c r="Q79" s="6"/>
      <c r="R79" s="6"/>
      <c r="S79" s="6">
        <f>S$49*$T$179</f>
        <v>2547.25014375</v>
      </c>
      <c r="T79" s="6">
        <f>T$52*$T$179</f>
        <v>2547.25014375</v>
      </c>
      <c r="U79" s="6"/>
      <c r="V79" s="6"/>
      <c r="W79" s="6"/>
      <c r="X79" s="6"/>
      <c r="Y79" s="6">
        <f t="shared" si="13"/>
        <v>6046.8354811264344</v>
      </c>
      <c r="Z79" s="3">
        <f t="shared" si="14"/>
        <v>5805402.3517415319</v>
      </c>
    </row>
    <row r="80" spans="1:26" x14ac:dyDescent="0.25">
      <c r="A80" s="6"/>
      <c r="B80" s="5" t="s">
        <v>106</v>
      </c>
      <c r="C80" t="s">
        <v>123</v>
      </c>
      <c r="D80" s="10">
        <f>$D$60</f>
        <v>379.92081737296741</v>
      </c>
      <c r="E80" s="6"/>
      <c r="F80" s="6"/>
      <c r="G80" s="7">
        <f>+'Duncan fertility'!$O$4*$E$18*$T$185</f>
        <v>189.72237476917968</v>
      </c>
      <c r="H80" s="7">
        <f>+'Duncan fertility'!$O$4*$F$18*$T$185</f>
        <v>189.72237476917968</v>
      </c>
      <c r="K80" s="6"/>
      <c r="L80" s="6"/>
      <c r="M80" s="6">
        <f>M$31*$T$182</f>
        <v>2462.3418056249998</v>
      </c>
      <c r="N80" s="6">
        <f>N$34*$T$182</f>
        <v>2462.3418056249998</v>
      </c>
      <c r="O80" s="6"/>
      <c r="P80" s="6"/>
      <c r="Q80" s="6"/>
      <c r="R80" s="6"/>
      <c r="S80" s="6"/>
      <c r="T80" s="6"/>
      <c r="U80" s="6"/>
      <c r="V80" s="6"/>
      <c r="W80" s="6"/>
      <c r="X80" s="6"/>
      <c r="Y80" s="6">
        <f t="shared" si="13"/>
        <v>5304.1283607883588</v>
      </c>
      <c r="Z80" s="3">
        <f t="shared" si="14"/>
        <v>2015148.7822818509</v>
      </c>
    </row>
    <row r="81" spans="1:26" x14ac:dyDescent="0.25">
      <c r="A81" s="6"/>
      <c r="B81" s="5" t="s">
        <v>107</v>
      </c>
      <c r="C81" t="s">
        <v>112</v>
      </c>
      <c r="D81" s="10">
        <f>$D$61</f>
        <v>960.07281326927591</v>
      </c>
      <c r="E81" s="6"/>
      <c r="F81" s="6"/>
      <c r="G81" s="7">
        <f>+'Duncan fertility'!$O$4*$E$18*$T$185</f>
        <v>189.72237476917968</v>
      </c>
      <c r="H81" s="7">
        <f>+'Duncan fertility'!$O$4*$F$18*$T$185</f>
        <v>189.72237476917968</v>
      </c>
      <c r="K81" s="6"/>
      <c r="L81" s="6"/>
      <c r="M81" s="6">
        <f>M$31*$T$182</f>
        <v>2462.3418056249998</v>
      </c>
      <c r="N81" s="6">
        <f>N$34*$T$182</f>
        <v>2462.3418056249998</v>
      </c>
      <c r="S81" s="6"/>
      <c r="T81" s="6"/>
      <c r="U81" s="6"/>
      <c r="V81" s="6"/>
      <c r="W81" s="6"/>
      <c r="X81" s="6"/>
      <c r="Y81" s="6">
        <f t="shared" si="13"/>
        <v>5304.1283607883588</v>
      </c>
      <c r="Z81" s="3">
        <f t="shared" si="14"/>
        <v>5092349.4372834321</v>
      </c>
    </row>
    <row r="82" spans="1:26" x14ac:dyDescent="0.25">
      <c r="A82" s="6"/>
      <c r="B82" s="5" t="s">
        <v>108</v>
      </c>
      <c r="C82" t="s">
        <v>123</v>
      </c>
      <c r="D82" s="10">
        <f>B$2</f>
        <v>379.92081737296741</v>
      </c>
      <c r="E82" s="6">
        <f>E$15*T$185</f>
        <v>2405.7362468749998</v>
      </c>
      <c r="F82" s="6">
        <f>F$18*T$185</f>
        <v>2405.7362468749998</v>
      </c>
      <c r="G82" s="6"/>
      <c r="H82" s="6"/>
      <c r="K82" s="6"/>
      <c r="L82" s="6"/>
      <c r="M82" s="6"/>
      <c r="S82" s="6"/>
      <c r="T82" s="6"/>
      <c r="U82" s="6"/>
      <c r="V82" s="6"/>
      <c r="W82" s="6"/>
      <c r="X82" s="6"/>
      <c r="Y82" s="6">
        <f t="shared" si="13"/>
        <v>4811.4724937499996</v>
      </c>
      <c r="Z82" s="3">
        <f t="shared" si="14"/>
        <v>1827978.5625930496</v>
      </c>
    </row>
    <row r="83" spans="1:26" x14ac:dyDescent="0.25">
      <c r="A83" s="6"/>
      <c r="B83" s="5" t="s">
        <v>109</v>
      </c>
      <c r="C83" t="s">
        <v>112</v>
      </c>
      <c r="D83" s="10">
        <f>B$1</f>
        <v>960.07281326927591</v>
      </c>
      <c r="E83" s="6">
        <f>E$15*T$185</f>
        <v>2405.7362468749998</v>
      </c>
      <c r="F83" s="6">
        <f>F$18*T$185</f>
        <v>2405.7362468749998</v>
      </c>
      <c r="G83" s="6"/>
      <c r="H83" s="6"/>
      <c r="M83" s="6"/>
      <c r="N83" s="6"/>
      <c r="S83" s="6"/>
      <c r="T83" s="6"/>
      <c r="U83" s="6"/>
      <c r="V83" s="6"/>
      <c r="W83" s="6"/>
      <c r="X83" s="6"/>
      <c r="Y83" s="6">
        <f t="shared" si="13"/>
        <v>4811.4724937499996</v>
      </c>
      <c r="Z83" s="3">
        <f t="shared" si="14"/>
        <v>4619363.9330423009</v>
      </c>
    </row>
    <row r="84" spans="1:26" x14ac:dyDescent="0.25">
      <c r="A84" s="6"/>
      <c r="B84" s="5" t="s">
        <v>509</v>
      </c>
      <c r="C84" t="s">
        <v>123</v>
      </c>
      <c r="D84" s="10">
        <f>B$2</f>
        <v>379.92081737296741</v>
      </c>
      <c r="E84" s="6"/>
      <c r="F84" s="6"/>
      <c r="G84" s="6"/>
      <c r="H84" s="6"/>
      <c r="M84" s="6"/>
      <c r="S84" s="6"/>
      <c r="T84" s="6"/>
      <c r="U84" s="6"/>
      <c r="V84" s="6"/>
      <c r="W84" s="6"/>
      <c r="X84" s="6"/>
      <c r="Y84" s="6"/>
      <c r="Z84" s="3"/>
    </row>
    <row r="85" spans="1:26" x14ac:dyDescent="0.25">
      <c r="A85" s="6"/>
      <c r="B85" s="5" t="s">
        <v>510</v>
      </c>
      <c r="C85" t="s">
        <v>112</v>
      </c>
      <c r="D85" s="10">
        <f t="shared" ref="D85:D86" si="17">B$1</f>
        <v>960.07281326927591</v>
      </c>
      <c r="E85" s="6"/>
      <c r="F85" s="6"/>
      <c r="G85" s="6"/>
      <c r="H85" s="6"/>
      <c r="M85" s="6"/>
      <c r="S85" s="6"/>
      <c r="T85" s="6"/>
      <c r="U85" s="6"/>
      <c r="V85" s="6"/>
      <c r="W85" s="6"/>
      <c r="X85" s="6"/>
      <c r="Y85" s="6"/>
      <c r="Z85" s="3"/>
    </row>
    <row r="86" spans="1:26" x14ac:dyDescent="0.25">
      <c r="A86" s="6"/>
      <c r="B86" s="5" t="s">
        <v>511</v>
      </c>
      <c r="C86" t="s">
        <v>112</v>
      </c>
      <c r="D86" s="10">
        <f t="shared" si="17"/>
        <v>960.07281326927591</v>
      </c>
      <c r="E86" s="6"/>
      <c r="F86" s="6"/>
      <c r="G86" s="6"/>
      <c r="H86" s="6"/>
      <c r="M86" s="6"/>
      <c r="S86" s="6"/>
      <c r="T86" s="6"/>
      <c r="U86" s="6"/>
      <c r="V86" s="6"/>
      <c r="W86" s="6"/>
      <c r="X86" s="6"/>
      <c r="Y86" s="6"/>
      <c r="Z86" s="3"/>
    </row>
    <row r="87" spans="1:26" x14ac:dyDescent="0.25">
      <c r="A87" s="6"/>
      <c r="B87" s="5" t="s">
        <v>196</v>
      </c>
      <c r="C87" s="6">
        <f>C$24</f>
        <v>359.83124505397723</v>
      </c>
      <c r="D87" s="10">
        <f>D24</f>
        <v>2300</v>
      </c>
      <c r="E87" s="6"/>
      <c r="F87" s="6"/>
      <c r="M87" s="6"/>
      <c r="Y87" s="6"/>
      <c r="Z87" s="3">
        <f>C87*D87</f>
        <v>827611.86362414761</v>
      </c>
    </row>
    <row r="88" spans="1:26" x14ac:dyDescent="0.25">
      <c r="A88" s="6"/>
      <c r="B88" s="5" t="s">
        <v>497</v>
      </c>
      <c r="D88" s="10">
        <f>D25</f>
        <v>190</v>
      </c>
      <c r="E88" s="6">
        <f>E69+E70+E73+E75+E77+E79+E81+E83+E85+E86</f>
        <v>2405.7362468749998</v>
      </c>
      <c r="F88" s="6">
        <f t="shared" ref="F88:X88" si="18">F69+F70+F73+F75+F77+F79+F81+F83+F85+F86</f>
        <v>2405.7362468749998</v>
      </c>
      <c r="G88" s="6">
        <f t="shared" si="18"/>
        <v>189.72237476917968</v>
      </c>
      <c r="H88" s="6">
        <f t="shared" si="18"/>
        <v>189.72237476917968</v>
      </c>
      <c r="I88" s="6">
        <f t="shared" si="18"/>
        <v>254.55683430696737</v>
      </c>
      <c r="J88" s="6">
        <f t="shared" si="18"/>
        <v>254.55683430696737</v>
      </c>
      <c r="K88" s="6">
        <f t="shared" si="18"/>
        <v>957.67638730709257</v>
      </c>
      <c r="L88" s="6">
        <f t="shared" si="18"/>
        <v>957.67638730709257</v>
      </c>
      <c r="M88" s="6">
        <f t="shared" si="18"/>
        <v>2462.3418056249998</v>
      </c>
      <c r="N88" s="6">
        <f t="shared" si="18"/>
        <v>2462.3418056249998</v>
      </c>
      <c r="O88" s="6">
        <f t="shared" si="18"/>
        <v>221.61076250625001</v>
      </c>
      <c r="P88" s="6">
        <f t="shared" si="18"/>
        <v>221.61076250625001</v>
      </c>
      <c r="Q88" s="6">
        <f t="shared" si="18"/>
        <v>1152.9927200962638</v>
      </c>
      <c r="R88" s="6">
        <f t="shared" si="18"/>
        <v>1152.9927200962638</v>
      </c>
      <c r="S88" s="6">
        <f t="shared" si="18"/>
        <v>2547.25014375</v>
      </c>
      <c r="T88" s="6">
        <f t="shared" si="18"/>
        <v>2547.25014375</v>
      </c>
      <c r="U88" s="6">
        <f t="shared" si="18"/>
        <v>773.3976806767148</v>
      </c>
      <c r="V88" s="6">
        <f t="shared" si="18"/>
        <v>773.3976806767148</v>
      </c>
      <c r="W88" s="6">
        <f t="shared" si="18"/>
        <v>11745.653440624999</v>
      </c>
      <c r="X88" s="6">
        <f t="shared" si="18"/>
        <v>6085.0975656250002</v>
      </c>
      <c r="Y88" s="6">
        <f>SUM(E88:X88)</f>
        <v>39761.320918074933</v>
      </c>
      <c r="Z88" s="3">
        <f>D88*Y88</f>
        <v>7554650.974434237</v>
      </c>
    </row>
    <row r="89" spans="1:26" x14ac:dyDescent="0.25">
      <c r="A89" s="6"/>
      <c r="B89" s="5" t="s">
        <v>130</v>
      </c>
      <c r="E89" s="6"/>
      <c r="F89" s="6"/>
      <c r="G89" s="6"/>
      <c r="H89" s="6"/>
      <c r="M89" s="6"/>
      <c r="S89" s="6"/>
      <c r="T89" s="6"/>
      <c r="U89" s="6"/>
      <c r="V89" s="6"/>
      <c r="Y89" s="6"/>
      <c r="Z89" s="10">
        <f>SUM(Z67:Z88)</f>
        <v>76998677.698130459</v>
      </c>
    </row>
    <row r="90" spans="1:26" x14ac:dyDescent="0.25">
      <c r="A90" s="6"/>
      <c r="B90" s="5" t="s">
        <v>654</v>
      </c>
      <c r="E90" s="6"/>
      <c r="F90" s="6"/>
      <c r="M90" s="6"/>
      <c r="V90" s="6"/>
      <c r="Y90" s="6">
        <f>Y69+Y70+Y72+Y73+Y76+Y74+Y75+Y77+Y78+Y79+Y80+Y81+Y82+Y84+Y86+Y83+Y85</f>
        <v>77400.074418604781</v>
      </c>
      <c r="Z90" s="6"/>
    </row>
    <row r="91" spans="1:26" x14ac:dyDescent="0.25">
      <c r="A91" s="6"/>
      <c r="G91" s="6"/>
      <c r="H91" s="6"/>
      <c r="M91" s="6"/>
      <c r="Y91" s="6"/>
    </row>
    <row r="92" spans="1:26" x14ac:dyDescent="0.25">
      <c r="A92" s="6" t="s">
        <v>512</v>
      </c>
      <c r="B92" t="s">
        <v>156</v>
      </c>
      <c r="D92" s="10">
        <f>$D$13</f>
        <v>230572390.32921553</v>
      </c>
      <c r="G92" s="6"/>
      <c r="H92" s="6"/>
      <c r="M92" s="6"/>
      <c r="Y92" s="6"/>
    </row>
    <row r="93" spans="1:26" x14ac:dyDescent="0.25">
      <c r="A93" s="6"/>
      <c r="B93" t="s">
        <v>195</v>
      </c>
      <c r="D93" s="10"/>
      <c r="G93" s="6"/>
      <c r="H93" s="6"/>
      <c r="K93" s="6"/>
      <c r="M93" s="6"/>
      <c r="Y93" s="6"/>
    </row>
    <row r="94" spans="1:26" x14ac:dyDescent="0.25">
      <c r="A94" s="6"/>
      <c r="B94" s="5" t="s">
        <v>94</v>
      </c>
      <c r="D94" s="10">
        <f>$D$15</f>
        <v>960.07281326927591</v>
      </c>
      <c r="G94" s="6"/>
      <c r="H94" s="6"/>
      <c r="M94" s="6"/>
      <c r="Q94" s="5"/>
      <c r="Y94" s="6">
        <f t="shared" ref="Y94:Y111" si="19">SUM(E94:X94)</f>
        <v>0</v>
      </c>
      <c r="Z94" s="3">
        <f t="shared" ref="Z94:Z111" si="20">Y94*D94</f>
        <v>0</v>
      </c>
    </row>
    <row r="95" spans="1:26" x14ac:dyDescent="0.25">
      <c r="A95" s="6"/>
      <c r="B95" s="5" t="s">
        <v>95</v>
      </c>
      <c r="D95" s="10">
        <f>$D$16</f>
        <v>960.07281326927591</v>
      </c>
      <c r="G95" s="6"/>
      <c r="H95" s="6"/>
      <c r="M95" s="6"/>
      <c r="Y95" s="6">
        <f t="shared" si="19"/>
        <v>0</v>
      </c>
      <c r="Z95" s="3">
        <f t="shared" si="20"/>
        <v>0</v>
      </c>
    </row>
    <row r="96" spans="1:26" x14ac:dyDescent="0.25">
      <c r="A96" s="6"/>
      <c r="B96" s="5"/>
      <c r="D96" s="10"/>
      <c r="G96" s="6"/>
      <c r="H96" s="6"/>
      <c r="M96" s="6"/>
      <c r="Y96" s="6"/>
      <c r="Z96" s="3"/>
    </row>
    <row r="97" spans="1:26" x14ac:dyDescent="0.25">
      <c r="A97" s="6"/>
      <c r="B97" s="5" t="s">
        <v>197</v>
      </c>
      <c r="C97" s="10"/>
      <c r="D97" s="10">
        <f>$C$18</f>
        <v>214.99599999999998</v>
      </c>
      <c r="G97" s="6"/>
      <c r="H97" s="6"/>
      <c r="M97" s="6"/>
      <c r="N97" s="6"/>
      <c r="Y97" s="6">
        <f t="shared" si="19"/>
        <v>0</v>
      </c>
      <c r="Z97" s="3">
        <f t="shared" si="20"/>
        <v>0</v>
      </c>
    </row>
    <row r="98" spans="1:26" x14ac:dyDescent="0.25">
      <c r="A98" s="6"/>
      <c r="B98" s="5" t="s">
        <v>200</v>
      </c>
      <c r="C98" t="s">
        <v>112</v>
      </c>
      <c r="D98" s="10">
        <f>$D$19</f>
        <v>960.07281326927591</v>
      </c>
      <c r="G98" s="6"/>
      <c r="H98" s="6"/>
      <c r="M98" s="6"/>
      <c r="Y98" s="6">
        <f t="shared" si="19"/>
        <v>0</v>
      </c>
      <c r="Z98" s="3">
        <f t="shared" si="20"/>
        <v>0</v>
      </c>
    </row>
    <row r="99" spans="1:26" x14ac:dyDescent="0.25">
      <c r="A99" s="6"/>
      <c r="B99" s="5" t="s">
        <v>97</v>
      </c>
      <c r="C99" t="s">
        <v>123</v>
      </c>
      <c r="D99" s="10">
        <f>$D$20</f>
        <v>379.92081737296741</v>
      </c>
      <c r="G99" s="6"/>
      <c r="H99" s="6"/>
      <c r="M99" s="6"/>
      <c r="Y99" s="6">
        <f t="shared" si="19"/>
        <v>0</v>
      </c>
      <c r="Z99" s="3">
        <f t="shared" si="20"/>
        <v>0</v>
      </c>
    </row>
    <row r="100" spans="1:26" x14ac:dyDescent="0.25">
      <c r="A100" s="6"/>
      <c r="B100" s="5" t="s">
        <v>98</v>
      </c>
      <c r="C100" t="s">
        <v>112</v>
      </c>
      <c r="D100" s="10">
        <f>$D$21</f>
        <v>960.07281326927591</v>
      </c>
      <c r="G100" s="6"/>
      <c r="H100" s="6"/>
      <c r="M100" s="6"/>
      <c r="Y100" s="6">
        <f t="shared" si="19"/>
        <v>0</v>
      </c>
      <c r="Z100" s="3">
        <f t="shared" si="20"/>
        <v>0</v>
      </c>
    </row>
    <row r="101" spans="1:26" x14ac:dyDescent="0.25">
      <c r="A101" s="6"/>
      <c r="B101" s="5" t="s">
        <v>99</v>
      </c>
      <c r="C101" t="s">
        <v>123</v>
      </c>
      <c r="D101" s="10">
        <f>$D$22</f>
        <v>379.92081737296741</v>
      </c>
      <c r="G101" s="6"/>
      <c r="H101" s="6"/>
      <c r="M101" s="6"/>
      <c r="Y101" s="6">
        <f t="shared" si="19"/>
        <v>0</v>
      </c>
      <c r="Z101" s="3">
        <f t="shared" si="20"/>
        <v>0</v>
      </c>
    </row>
    <row r="102" spans="1:26" x14ac:dyDescent="0.25">
      <c r="A102" s="6"/>
      <c r="B102" s="5" t="s">
        <v>100</v>
      </c>
      <c r="C102" t="s">
        <v>112</v>
      </c>
      <c r="D102" s="10">
        <f>$D$23</f>
        <v>960.07281326927591</v>
      </c>
      <c r="G102" s="6"/>
      <c r="H102" s="6"/>
      <c r="M102" s="6"/>
      <c r="Q102" s="6"/>
      <c r="Y102" s="6">
        <f t="shared" si="19"/>
        <v>0</v>
      </c>
      <c r="Z102" s="3">
        <f t="shared" si="20"/>
        <v>0</v>
      </c>
    </row>
    <row r="103" spans="1:26" x14ac:dyDescent="0.25">
      <c r="A103" s="6"/>
      <c r="B103" s="5" t="s">
        <v>104</v>
      </c>
      <c r="C103" t="s">
        <v>123</v>
      </c>
      <c r="D103" s="10">
        <f>$D$40</f>
        <v>379.92081737296741</v>
      </c>
      <c r="G103" s="6"/>
      <c r="H103" s="6"/>
      <c r="K103" s="6">
        <f>+'Duncan fertility'!$O$6*$E$19*$T$188</f>
        <v>36.873101543374688</v>
      </c>
      <c r="L103" s="6">
        <f>+'Duncan fertility'!$O$6*$F$19*$T$188</f>
        <v>36.873101543374688</v>
      </c>
      <c r="M103" s="6"/>
      <c r="Q103" s="6">
        <f>+'Duncan fertility'!$O$5*$M$31*$T$185</f>
        <v>292.5940624218016</v>
      </c>
      <c r="R103" s="6">
        <f>+'Duncan fertility'!$O$5*$N$34*$T$185</f>
        <v>292.5940624218016</v>
      </c>
      <c r="S103" s="6"/>
      <c r="T103" s="6"/>
      <c r="U103" s="6">
        <f>+'Duncan fertility'!$O$4*S$49*$T$182</f>
        <v>194.18643064610157</v>
      </c>
      <c r="V103" s="6">
        <f>+'Duncan fertility'!$O$4*T$52*$T$182</f>
        <v>194.18643064610157</v>
      </c>
      <c r="W103" s="6">
        <f>W$69*$T$179</f>
        <v>2547.25014375</v>
      </c>
      <c r="X103" s="6">
        <f>X$72*$T$179</f>
        <v>2547.25014375</v>
      </c>
      <c r="Y103" s="6">
        <f t="shared" si="19"/>
        <v>6141.8074767225553</v>
      </c>
      <c r="Z103" s="3">
        <f t="shared" si="20"/>
        <v>2333400.5167038357</v>
      </c>
    </row>
    <row r="104" spans="1:26" x14ac:dyDescent="0.25">
      <c r="A104" s="6"/>
      <c r="B104" s="5" t="s">
        <v>105</v>
      </c>
      <c r="C104" t="s">
        <v>112</v>
      </c>
      <c r="D104" s="10">
        <f>$D$41</f>
        <v>960.07281326927591</v>
      </c>
      <c r="G104" s="6"/>
      <c r="H104" s="6"/>
      <c r="K104" s="6">
        <f>+'Duncan fertility'!$O$6*$E$19*$T$188</f>
        <v>36.873101543374688</v>
      </c>
      <c r="L104" s="6">
        <f>+'Duncan fertility'!$O$6*$F$19*$T$188</f>
        <v>36.873101543374688</v>
      </c>
      <c r="M104" s="6"/>
      <c r="Q104" s="6">
        <f>+'Duncan fertility'!$O$5*$M$31*$T$185</f>
        <v>292.5940624218016</v>
      </c>
      <c r="R104" s="6">
        <f>+'Duncan fertility'!$O$5*$N$34*$T$185</f>
        <v>292.5940624218016</v>
      </c>
      <c r="S104" s="6"/>
      <c r="T104" s="6"/>
      <c r="U104" s="6">
        <f>+'Duncan fertility'!$O$4*S$49*$T$182</f>
        <v>194.18643064610157</v>
      </c>
      <c r="V104" s="6">
        <f>+'Duncan fertility'!$O$4*T$52*$T$182</f>
        <v>194.18643064610157</v>
      </c>
      <c r="W104" s="6">
        <f>W$69*$T$179</f>
        <v>2547.25014375</v>
      </c>
      <c r="X104" s="6">
        <f>X$72*$T$179</f>
        <v>2547.25014375</v>
      </c>
      <c r="Y104" s="6">
        <f t="shared" si="19"/>
        <v>6141.8074767225553</v>
      </c>
      <c r="Z104" s="3">
        <f t="shared" si="20"/>
        <v>5896582.3827352962</v>
      </c>
    </row>
    <row r="105" spans="1:26" x14ac:dyDescent="0.25">
      <c r="A105" s="6"/>
      <c r="B105" s="5" t="s">
        <v>106</v>
      </c>
      <c r="C105" t="s">
        <v>123</v>
      </c>
      <c r="D105" s="10">
        <f>$D$60</f>
        <v>379.92081737296741</v>
      </c>
      <c r="G105" s="6"/>
      <c r="H105" s="6"/>
      <c r="I105" s="6">
        <f>$I$49*$T$188</f>
        <v>251.56204802100305</v>
      </c>
      <c r="J105" s="6">
        <f>J$49*$T$188</f>
        <v>251.56204802100305</v>
      </c>
      <c r="M105" s="6"/>
      <c r="O105" s="6">
        <f>0.09*$M$34*$T$185</f>
        <v>216.51626221875</v>
      </c>
      <c r="P105" s="6">
        <f>0.09*$N$34*$T$185</f>
        <v>216.51626221875</v>
      </c>
      <c r="R105" s="6"/>
      <c r="S105" s="6">
        <f>S$49*$T$182</f>
        <v>2462.3418056249998</v>
      </c>
      <c r="T105" s="6">
        <f>T$52*$T$182</f>
        <v>2462.3418056249998</v>
      </c>
      <c r="U105" s="6"/>
      <c r="V105" s="6"/>
      <c r="W105" s="6"/>
      <c r="X105" s="6"/>
      <c r="Y105" s="6">
        <f t="shared" si="19"/>
        <v>5860.8402317295058</v>
      </c>
      <c r="Z105" s="3">
        <f t="shared" si="20"/>
        <v>2226655.2113310457</v>
      </c>
    </row>
    <row r="106" spans="1:26" x14ac:dyDescent="0.25">
      <c r="A106" s="6"/>
      <c r="B106" s="5" t="s">
        <v>107</v>
      </c>
      <c r="C106" t="s">
        <v>112</v>
      </c>
      <c r="D106" s="10">
        <f>$D$61</f>
        <v>960.07281326927591</v>
      </c>
      <c r="E106" s="6"/>
      <c r="G106" s="6"/>
      <c r="H106" s="6"/>
      <c r="I106" s="6">
        <f>$I$49*$T$188</f>
        <v>251.56204802100305</v>
      </c>
      <c r="J106" s="6">
        <f>J$49*$T$188</f>
        <v>251.56204802100305</v>
      </c>
      <c r="K106" s="6"/>
      <c r="M106" s="6"/>
      <c r="O106" s="6">
        <f>0.09*$M$34*$T$185</f>
        <v>216.51626221875</v>
      </c>
      <c r="P106" s="6">
        <f>0.09*$N$34*$T$185</f>
        <v>216.51626221875</v>
      </c>
      <c r="R106" s="6"/>
      <c r="S106" s="6">
        <f>S$49*$T$182</f>
        <v>2462.3418056249998</v>
      </c>
      <c r="T106" s="6">
        <f>T$52*$T$182</f>
        <v>2462.3418056249998</v>
      </c>
      <c r="U106" s="6"/>
      <c r="V106" s="6"/>
      <c r="W106" s="6"/>
      <c r="X106" s="6"/>
      <c r="Y106" s="6">
        <f t="shared" si="19"/>
        <v>5860.8402317295058</v>
      </c>
      <c r="Z106" s="3">
        <f t="shared" si="20"/>
        <v>5626833.3693983015</v>
      </c>
    </row>
    <row r="107" spans="1:26" x14ac:dyDescent="0.25">
      <c r="A107" s="6"/>
      <c r="B107" s="5" t="s">
        <v>108</v>
      </c>
      <c r="C107" t="s">
        <v>123</v>
      </c>
      <c r="D107" s="10">
        <f>B$2</f>
        <v>379.92081737296741</v>
      </c>
      <c r="G107" s="7">
        <f>+'Duncan fertility'!$O$4*$E$18*$T$188</f>
        <v>187.49034683071875</v>
      </c>
      <c r="H107" s="7">
        <f>+'Duncan fertility'!$O$4*$F$18*$T$188</f>
        <v>187.49034683071875</v>
      </c>
      <c r="M107" s="7">
        <f>M$31*T185</f>
        <v>2405.7362468749998</v>
      </c>
      <c r="N107" s="7">
        <f>N$34*T185</f>
        <v>2405.7362468749998</v>
      </c>
      <c r="Y107" s="6">
        <f t="shared" si="19"/>
        <v>5186.4531874114373</v>
      </c>
      <c r="Z107" s="3">
        <f t="shared" si="20"/>
        <v>1970441.5342279854</v>
      </c>
    </row>
    <row r="108" spans="1:26" x14ac:dyDescent="0.25">
      <c r="A108" s="6"/>
      <c r="B108" s="5" t="s">
        <v>109</v>
      </c>
      <c r="C108" t="s">
        <v>112</v>
      </c>
      <c r="D108" s="10">
        <f>B$1</f>
        <v>960.07281326927591</v>
      </c>
      <c r="G108" s="7">
        <f>+'Duncan fertility'!$O$4*$E$18*$T$188</f>
        <v>187.49034683071875</v>
      </c>
      <c r="H108" s="7">
        <f>+'Duncan fertility'!$O$4*$F$18*$T$188</f>
        <v>187.49034683071875</v>
      </c>
      <c r="M108" s="7">
        <f>M$31*T185</f>
        <v>2405.7362468749998</v>
      </c>
      <c r="N108" s="7">
        <f>N$34*T185</f>
        <v>2405.7362468749998</v>
      </c>
      <c r="Y108" s="6">
        <f t="shared" si="19"/>
        <v>5186.4531874114373</v>
      </c>
      <c r="Z108" s="3">
        <f t="shared" si="20"/>
        <v>4979372.7025275016</v>
      </c>
    </row>
    <row r="109" spans="1:26" x14ac:dyDescent="0.25">
      <c r="A109" s="6"/>
      <c r="B109" s="5" t="s">
        <v>509</v>
      </c>
      <c r="C109" t="s">
        <v>123</v>
      </c>
      <c r="D109" s="10">
        <f>B$2</f>
        <v>379.92081737296741</v>
      </c>
      <c r="E109" s="6">
        <f>E$15*$T$188</f>
        <v>2377.4334675</v>
      </c>
      <c r="F109" s="6">
        <f>F$18*$T$188</f>
        <v>2377.4334675</v>
      </c>
      <c r="G109" s="6"/>
      <c r="H109" s="6"/>
      <c r="M109" s="6"/>
      <c r="Y109" s="6">
        <f t="shared" si="19"/>
        <v>4754.866935</v>
      </c>
      <c r="Z109" s="3">
        <f t="shared" si="20"/>
        <v>1806472.9324448963</v>
      </c>
    </row>
    <row r="110" spans="1:26" x14ac:dyDescent="0.25">
      <c r="A110" s="6"/>
      <c r="B110" s="5" t="s">
        <v>510</v>
      </c>
      <c r="C110" t="s">
        <v>112</v>
      </c>
      <c r="D110" s="10">
        <f t="shared" ref="D110:D111" si="21">B$1</f>
        <v>960.07281326927591</v>
      </c>
      <c r="E110" s="6">
        <f>E$15*$T$188</f>
        <v>2377.4334675</v>
      </c>
      <c r="F110" s="6">
        <f>F$18*$T$188</f>
        <v>2377.4334675</v>
      </c>
      <c r="G110" s="6"/>
      <c r="H110" s="6"/>
      <c r="M110" s="6"/>
      <c r="N110" s="6"/>
      <c r="Y110" s="6">
        <f t="shared" si="19"/>
        <v>4754.866935</v>
      </c>
      <c r="Z110" s="3">
        <f t="shared" si="20"/>
        <v>4565018.4750065096</v>
      </c>
    </row>
    <row r="111" spans="1:26" x14ac:dyDescent="0.25">
      <c r="A111" s="6"/>
      <c r="B111" s="5" t="s">
        <v>511</v>
      </c>
      <c r="C111" t="s">
        <v>112</v>
      </c>
      <c r="D111" s="10">
        <f t="shared" si="21"/>
        <v>960.07281326927591</v>
      </c>
      <c r="G111" s="6"/>
      <c r="H111" s="6"/>
      <c r="M111" s="6"/>
      <c r="Y111" s="6">
        <f t="shared" si="19"/>
        <v>0</v>
      </c>
      <c r="Z111" s="3">
        <f t="shared" si="20"/>
        <v>0</v>
      </c>
    </row>
    <row r="112" spans="1:26" x14ac:dyDescent="0.25">
      <c r="A112" s="6"/>
      <c r="B112" s="5" t="s">
        <v>196</v>
      </c>
      <c r="C112" s="6">
        <f>C$24</f>
        <v>359.83124505397723</v>
      </c>
      <c r="D112" s="10">
        <f>D49</f>
        <v>960.07281326927591</v>
      </c>
      <c r="G112" s="6"/>
      <c r="H112" s="6"/>
      <c r="M112" s="6"/>
      <c r="Y112" s="6"/>
      <c r="Z112" s="3">
        <f>C112*D112</f>
        <v>345464.19574115815</v>
      </c>
    </row>
    <row r="113" spans="1:26" x14ac:dyDescent="0.25">
      <c r="A113" s="6"/>
      <c r="B113" s="5" t="s">
        <v>497</v>
      </c>
      <c r="D113" s="10">
        <f>D25</f>
        <v>190</v>
      </c>
      <c r="E113" s="6">
        <f>E94+E95+E98+E100+E102+E104+E106+E108+E110+E111</f>
        <v>2377.4334675</v>
      </c>
      <c r="F113" s="6">
        <f t="shared" ref="F113:Y113" si="22">F94+F95+F98+F100+F102+F104+F106+F108+F110+F111</f>
        <v>2377.4334675</v>
      </c>
      <c r="G113" s="6">
        <f t="shared" si="22"/>
        <v>187.49034683071875</v>
      </c>
      <c r="H113" s="6">
        <f t="shared" si="22"/>
        <v>187.49034683071875</v>
      </c>
      <c r="I113" s="6">
        <f t="shared" si="22"/>
        <v>251.56204802100305</v>
      </c>
      <c r="J113" s="6">
        <f t="shared" si="22"/>
        <v>251.56204802100305</v>
      </c>
      <c r="K113" s="6">
        <f t="shared" si="22"/>
        <v>36.873101543374688</v>
      </c>
      <c r="L113" s="6">
        <f t="shared" si="22"/>
        <v>36.873101543374688</v>
      </c>
      <c r="M113" s="6">
        <f t="shared" si="22"/>
        <v>2405.7362468749998</v>
      </c>
      <c r="N113" s="6">
        <f t="shared" si="22"/>
        <v>2405.7362468749998</v>
      </c>
      <c r="O113" s="6">
        <f t="shared" si="22"/>
        <v>216.51626221875</v>
      </c>
      <c r="P113" s="6">
        <f t="shared" si="22"/>
        <v>216.51626221875</v>
      </c>
      <c r="Q113" s="6">
        <f t="shared" si="22"/>
        <v>292.5940624218016</v>
      </c>
      <c r="R113" s="6">
        <f t="shared" si="22"/>
        <v>292.5940624218016</v>
      </c>
      <c r="S113" s="6">
        <f t="shared" si="22"/>
        <v>2462.3418056249998</v>
      </c>
      <c r="T113" s="6">
        <f t="shared" si="22"/>
        <v>2462.3418056249998</v>
      </c>
      <c r="U113" s="6">
        <f t="shared" si="22"/>
        <v>194.18643064610157</v>
      </c>
      <c r="V113" s="6">
        <f t="shared" si="22"/>
        <v>194.18643064610157</v>
      </c>
      <c r="W113" s="6">
        <f t="shared" si="22"/>
        <v>2547.25014375</v>
      </c>
      <c r="X113" s="6">
        <f t="shared" si="22"/>
        <v>2547.25014375</v>
      </c>
      <c r="Y113" s="6">
        <f t="shared" si="22"/>
        <v>21943.967830863498</v>
      </c>
      <c r="Z113" s="3">
        <f>D113*Y113</f>
        <v>4169353.8878640644</v>
      </c>
    </row>
    <row r="114" spans="1:26" x14ac:dyDescent="0.25">
      <c r="A114" s="6"/>
      <c r="B114" s="5" t="s">
        <v>515</v>
      </c>
      <c r="G114" s="6"/>
      <c r="H114" s="6"/>
      <c r="M114" s="6"/>
      <c r="Y114" s="6"/>
      <c r="Z114" s="10">
        <f>SUM(Z92:Z113)</f>
        <v>33919595.207980588</v>
      </c>
    </row>
    <row r="115" spans="1:26" x14ac:dyDescent="0.25">
      <c r="A115" s="6"/>
      <c r="B115" s="5" t="s">
        <v>654</v>
      </c>
      <c r="E115" s="6"/>
      <c r="F115" s="6"/>
      <c r="M115" s="6"/>
      <c r="V115" s="6"/>
      <c r="Y115" s="6">
        <f>Y94+Y95+Y98++Y101+Y99+Y100+Y102+Y103+Y104+Y105+Y106+Y107+Y109+Y111+Y108+Y110</f>
        <v>43887.935661726995</v>
      </c>
      <c r="Z115" s="6"/>
    </row>
    <row r="116" spans="1:26" x14ac:dyDescent="0.25">
      <c r="A116" s="6"/>
      <c r="G116" s="6"/>
      <c r="H116" s="6"/>
      <c r="M116" s="6"/>
      <c r="Y116" s="6"/>
    </row>
    <row r="117" spans="1:26" x14ac:dyDescent="0.25">
      <c r="A117" s="6" t="s">
        <v>513</v>
      </c>
      <c r="B117" t="s">
        <v>156</v>
      </c>
      <c r="D117" s="10">
        <f>$D$13</f>
        <v>230572390.32921553</v>
      </c>
      <c r="G117" s="6"/>
      <c r="H117" s="6"/>
      <c r="M117" s="6"/>
      <c r="Y117" s="6"/>
    </row>
    <row r="118" spans="1:26" x14ac:dyDescent="0.25">
      <c r="A118" s="6"/>
      <c r="B118" t="s">
        <v>195</v>
      </c>
      <c r="D118" s="10"/>
      <c r="G118" s="6"/>
      <c r="H118" s="6"/>
      <c r="M118" s="6"/>
      <c r="Y118" s="6"/>
    </row>
    <row r="119" spans="1:26" x14ac:dyDescent="0.25">
      <c r="A119" s="6"/>
      <c r="B119" s="5" t="s">
        <v>94</v>
      </c>
      <c r="D119" s="10">
        <f>$D$15</f>
        <v>960.07281326927591</v>
      </c>
      <c r="G119" s="6"/>
      <c r="H119" s="6"/>
      <c r="M119" s="6"/>
      <c r="Y119" s="6"/>
      <c r="Z119" s="3">
        <f t="shared" ref="Z119:Z136" si="23">Y119*D119</f>
        <v>0</v>
      </c>
    </row>
    <row r="120" spans="1:26" x14ac:dyDescent="0.25">
      <c r="A120" s="6"/>
      <c r="B120" s="5" t="s">
        <v>95</v>
      </c>
      <c r="D120" s="10">
        <f>$D$16</f>
        <v>960.07281326927591</v>
      </c>
      <c r="G120" s="6"/>
      <c r="H120" s="6"/>
      <c r="K120" s="6"/>
      <c r="M120" s="6"/>
      <c r="Y120" s="6"/>
      <c r="Z120" s="3">
        <f t="shared" si="23"/>
        <v>0</v>
      </c>
    </row>
    <row r="121" spans="1:26" x14ac:dyDescent="0.25">
      <c r="A121" s="6"/>
      <c r="B121" s="5"/>
      <c r="D121" s="10"/>
      <c r="G121" s="6"/>
      <c r="H121" s="6"/>
      <c r="M121" s="6"/>
      <c r="N121" s="6"/>
      <c r="Y121" s="6"/>
      <c r="Z121" s="3"/>
    </row>
    <row r="122" spans="1:26" x14ac:dyDescent="0.25">
      <c r="A122" s="6"/>
      <c r="B122" s="5" t="s">
        <v>197</v>
      </c>
      <c r="C122" s="10"/>
      <c r="D122" s="10">
        <f>$C$18</f>
        <v>214.99599999999998</v>
      </c>
      <c r="G122" s="6"/>
      <c r="H122" s="6"/>
      <c r="M122" s="6"/>
      <c r="Y122" s="6"/>
      <c r="Z122" s="3">
        <f t="shared" si="23"/>
        <v>0</v>
      </c>
    </row>
    <row r="123" spans="1:26" x14ac:dyDescent="0.25">
      <c r="A123" s="6"/>
      <c r="B123" s="5" t="s">
        <v>200</v>
      </c>
      <c r="C123" t="s">
        <v>112</v>
      </c>
      <c r="D123" s="10">
        <f>$D$19</f>
        <v>960.07281326927591</v>
      </c>
      <c r="G123" s="6"/>
      <c r="H123" s="6"/>
      <c r="M123" s="6"/>
      <c r="Y123" s="6"/>
      <c r="Z123" s="3">
        <f t="shared" si="23"/>
        <v>0</v>
      </c>
    </row>
    <row r="124" spans="1:26" x14ac:dyDescent="0.25">
      <c r="A124" s="6"/>
      <c r="B124" s="5" t="s">
        <v>97</v>
      </c>
      <c r="C124" t="s">
        <v>123</v>
      </c>
      <c r="D124" s="10">
        <f>$D$20</f>
        <v>379.92081737296741</v>
      </c>
      <c r="G124" s="6"/>
      <c r="H124" s="6"/>
      <c r="M124" s="6"/>
      <c r="N124" s="6"/>
      <c r="Y124" s="6"/>
      <c r="Z124" s="3">
        <f t="shared" si="23"/>
        <v>0</v>
      </c>
    </row>
    <row r="125" spans="1:26" x14ac:dyDescent="0.25">
      <c r="A125" s="6"/>
      <c r="B125" s="5" t="s">
        <v>98</v>
      </c>
      <c r="C125" t="s">
        <v>112</v>
      </c>
      <c r="D125" s="10">
        <f>$D$21</f>
        <v>960.07281326927591</v>
      </c>
      <c r="G125" s="6"/>
      <c r="H125" s="6"/>
      <c r="M125" s="6"/>
      <c r="Y125" s="6"/>
      <c r="Z125" s="3">
        <f t="shared" si="23"/>
        <v>0</v>
      </c>
    </row>
    <row r="126" spans="1:26" x14ac:dyDescent="0.25">
      <c r="A126" s="6"/>
      <c r="B126" s="5" t="s">
        <v>99</v>
      </c>
      <c r="C126" t="s">
        <v>123</v>
      </c>
      <c r="D126" s="10">
        <f>$D$22</f>
        <v>379.92081737296741</v>
      </c>
      <c r="G126" s="6"/>
      <c r="H126" s="6"/>
      <c r="M126" s="6"/>
      <c r="Y126" s="6"/>
      <c r="Z126" s="3">
        <f t="shared" si="23"/>
        <v>0</v>
      </c>
    </row>
    <row r="127" spans="1:26" x14ac:dyDescent="0.25">
      <c r="A127" s="6"/>
      <c r="B127" s="5" t="s">
        <v>100</v>
      </c>
      <c r="C127" t="s">
        <v>112</v>
      </c>
      <c r="D127" s="10">
        <f>$D$23</f>
        <v>960.07281326927591</v>
      </c>
      <c r="G127" s="6"/>
      <c r="H127" s="6"/>
      <c r="M127" s="6"/>
      <c r="Y127" s="6"/>
      <c r="Z127" s="3">
        <f t="shared" si="23"/>
        <v>0</v>
      </c>
    </row>
    <row r="128" spans="1:26" x14ac:dyDescent="0.25">
      <c r="A128" s="6"/>
      <c r="B128" s="5" t="s">
        <v>104</v>
      </c>
      <c r="C128" t="s">
        <v>123</v>
      </c>
      <c r="D128" s="10">
        <f>$D$40</f>
        <v>379.92081737296741</v>
      </c>
      <c r="G128" s="6"/>
      <c r="H128" s="6"/>
      <c r="M128" s="6"/>
      <c r="Y128" s="6"/>
      <c r="Z128" s="3">
        <f t="shared" si="23"/>
        <v>0</v>
      </c>
    </row>
    <row r="129" spans="1:26" x14ac:dyDescent="0.25">
      <c r="A129" s="6"/>
      <c r="B129" s="5" t="s">
        <v>105</v>
      </c>
      <c r="C129" t="s">
        <v>112</v>
      </c>
      <c r="D129" s="10">
        <f>$D$41</f>
        <v>960.07281326927591</v>
      </c>
      <c r="G129" s="6"/>
      <c r="H129" s="6"/>
      <c r="M129" s="6"/>
      <c r="Y129" s="6"/>
      <c r="Z129" s="3">
        <f t="shared" si="23"/>
        <v>0</v>
      </c>
    </row>
    <row r="130" spans="1:26" x14ac:dyDescent="0.25">
      <c r="A130" s="6"/>
      <c r="B130" s="5" t="s">
        <v>106</v>
      </c>
      <c r="C130" t="s">
        <v>123</v>
      </c>
      <c r="D130" s="10">
        <f>$D$60</f>
        <v>379.92081737296741</v>
      </c>
      <c r="G130" s="6"/>
      <c r="H130" s="6"/>
      <c r="K130" s="6">
        <f>+'Duncan fertility'!$O$6*$E$19*$T$191</f>
        <v>36.4341360488107</v>
      </c>
      <c r="L130" s="6">
        <f>+'Duncan fertility'!$O$6*$F$19*$T$191</f>
        <v>36.4341360488107</v>
      </c>
      <c r="M130" s="6"/>
      <c r="Q130" s="6">
        <f>+'Duncan fertility'!$O$5*$M$31*$T$188</f>
        <v>289.15177933448626</v>
      </c>
      <c r="R130" s="6">
        <f>+'Duncan fertility'!$O$5*$N$34*$T$188</f>
        <v>289.15177933448626</v>
      </c>
      <c r="S130" s="6"/>
      <c r="T130" s="6"/>
      <c r="U130" s="6">
        <f>+'Duncan fertility'!$O$4*S$49*$T$185</f>
        <v>189.72237476917968</v>
      </c>
      <c r="V130" s="6">
        <f>+'Duncan fertility'!$O$4*T$52*$T$185</f>
        <v>189.72237476917968</v>
      </c>
      <c r="W130" s="6">
        <f>W$69*$T$182</f>
        <v>2462.3418056249998</v>
      </c>
      <c r="X130" s="6">
        <f>X$72*$T$182</f>
        <v>2462.3418056249998</v>
      </c>
      <c r="Y130" s="6">
        <f t="shared" ref="Y130:Y137" si="24">SUM(E130:X130)</f>
        <v>5955.3001915549521</v>
      </c>
      <c r="Z130" s="3">
        <f t="shared" si="23"/>
        <v>2262542.5164769469</v>
      </c>
    </row>
    <row r="131" spans="1:26" x14ac:dyDescent="0.25">
      <c r="A131" s="6"/>
      <c r="B131" s="5" t="s">
        <v>107</v>
      </c>
      <c r="C131" t="s">
        <v>112</v>
      </c>
      <c r="D131" s="10">
        <f>$D$61</f>
        <v>960.07281326927591</v>
      </c>
      <c r="G131" s="6"/>
      <c r="H131" s="6"/>
      <c r="K131" s="6">
        <f>+'Duncan fertility'!$O$6*$E$19*$T$191</f>
        <v>36.4341360488107</v>
      </c>
      <c r="L131" s="6">
        <f>+'Duncan fertility'!$O$6*$F$19*$T$191</f>
        <v>36.4341360488107</v>
      </c>
      <c r="M131" s="6"/>
      <c r="Q131" s="6">
        <f>+'Duncan fertility'!$O$5*$M$31*$T$188</f>
        <v>289.15177933448626</v>
      </c>
      <c r="R131" s="6">
        <f>+'Duncan fertility'!$O$5*$N$34*$T$188</f>
        <v>289.15177933448626</v>
      </c>
      <c r="S131" s="6"/>
      <c r="T131" s="6"/>
      <c r="U131" s="6">
        <f>+'Duncan fertility'!$O$4*S$49*$T$185</f>
        <v>189.72237476917968</v>
      </c>
      <c r="V131" s="6">
        <f>+'Duncan fertility'!$O$4*T$52*$T$185</f>
        <v>189.72237476917968</v>
      </c>
      <c r="W131" s="6">
        <f>W$69*$T$182</f>
        <v>2462.3418056249998</v>
      </c>
      <c r="X131" s="6">
        <f>X$72*$T$182</f>
        <v>2462.3418056249998</v>
      </c>
      <c r="Y131" s="6">
        <f t="shared" si="24"/>
        <v>5955.3001915549521</v>
      </c>
      <c r="Z131" s="3">
        <f t="shared" si="23"/>
        <v>5717521.8087692205</v>
      </c>
    </row>
    <row r="132" spans="1:26" x14ac:dyDescent="0.25">
      <c r="A132" s="6"/>
      <c r="B132" s="5" t="s">
        <v>108</v>
      </c>
      <c r="C132" t="s">
        <v>123</v>
      </c>
      <c r="D132" s="10">
        <f>B$2</f>
        <v>379.92081737296741</v>
      </c>
      <c r="G132" s="6"/>
      <c r="H132" s="6"/>
      <c r="I132" s="6">
        <f>$I$49*$T$191</f>
        <v>248.56726173503873</v>
      </c>
      <c r="J132" s="6">
        <f>$J$49*$T$191</f>
        <v>248.56726173503873</v>
      </c>
      <c r="M132" s="6"/>
      <c r="O132" s="6">
        <f>0.09*$M$34*$T$188</f>
        <v>213.96901207499999</v>
      </c>
      <c r="P132" s="6">
        <f>0.09*$N$34*$T$188</f>
        <v>213.96901207499999</v>
      </c>
      <c r="R132" s="6"/>
      <c r="S132" s="6">
        <f>S$49*$T$185</f>
        <v>2405.7362468749998</v>
      </c>
      <c r="T132" s="6">
        <f>T$52*$T$185</f>
        <v>2405.7362468749998</v>
      </c>
      <c r="U132" s="6"/>
      <c r="V132" s="6"/>
      <c r="W132" s="6"/>
      <c r="X132" s="6"/>
      <c r="Y132" s="6">
        <f t="shared" si="24"/>
        <v>5736.5450413700764</v>
      </c>
      <c r="Z132" s="3">
        <f t="shared" si="23"/>
        <v>2179432.8810141627</v>
      </c>
    </row>
    <row r="133" spans="1:26" x14ac:dyDescent="0.25">
      <c r="A133" s="6"/>
      <c r="B133" s="5" t="s">
        <v>109</v>
      </c>
      <c r="C133" t="s">
        <v>112</v>
      </c>
      <c r="D133" s="10">
        <f>B$1</f>
        <v>960.07281326927591</v>
      </c>
      <c r="G133" s="6"/>
      <c r="H133" s="6"/>
      <c r="I133" s="6">
        <f>$I$49*$T$191</f>
        <v>248.56726173503873</v>
      </c>
      <c r="J133" s="6">
        <f>$J$49*$T$191</f>
        <v>248.56726173503873</v>
      </c>
      <c r="K133" s="6"/>
      <c r="M133" s="6"/>
      <c r="O133" s="6">
        <f>0.09*$M$34*$T$188</f>
        <v>213.96901207499999</v>
      </c>
      <c r="P133" s="6">
        <f>0.09*$N$34*$T$188</f>
        <v>213.96901207499999</v>
      </c>
      <c r="R133" s="6"/>
      <c r="S133" s="6">
        <f>S$49*$T$185</f>
        <v>2405.7362468749998</v>
      </c>
      <c r="T133" s="6">
        <f>T$52*$T$185</f>
        <v>2405.7362468749998</v>
      </c>
      <c r="U133" s="6"/>
      <c r="V133" s="6"/>
      <c r="W133" s="6"/>
      <c r="X133" s="6"/>
      <c r="Y133" s="6">
        <f t="shared" si="24"/>
        <v>5736.5450413700764</v>
      </c>
      <c r="Z133" s="3">
        <f t="shared" si="23"/>
        <v>5507500.9363140836</v>
      </c>
    </row>
    <row r="134" spans="1:26" x14ac:dyDescent="0.25">
      <c r="A134" s="6"/>
      <c r="B134" s="5" t="s">
        <v>509</v>
      </c>
      <c r="C134" t="s">
        <v>123</v>
      </c>
      <c r="D134" s="10">
        <f>B$2</f>
        <v>379.92081737296741</v>
      </c>
      <c r="G134" s="6">
        <f>$G$31*$T$191</f>
        <v>166.73248700303205</v>
      </c>
      <c r="H134" s="6">
        <f>$H$31*$T$191</f>
        <v>166.73248700303205</v>
      </c>
      <c r="M134" s="6">
        <f>M$31*$T$188</f>
        <v>2377.4334675</v>
      </c>
      <c r="N134" s="6">
        <f>N$34*$T$188</f>
        <v>2377.4334675</v>
      </c>
      <c r="Y134" s="6">
        <f t="shared" si="24"/>
        <v>5088.3319090060641</v>
      </c>
      <c r="Z134" s="3">
        <f t="shared" si="23"/>
        <v>1933163.2179345354</v>
      </c>
    </row>
    <row r="135" spans="1:26" x14ac:dyDescent="0.25">
      <c r="A135" s="6"/>
      <c r="B135" s="5" t="s">
        <v>510</v>
      </c>
      <c r="C135" t="s">
        <v>112</v>
      </c>
      <c r="D135" s="10">
        <f t="shared" ref="D135:D136" si="25">B$1</f>
        <v>960.07281326927591</v>
      </c>
      <c r="E135" s="6"/>
      <c r="G135" s="6">
        <f>$G$31*$T$191</f>
        <v>166.73248700303205</v>
      </c>
      <c r="H135" s="6">
        <f>$H$31*$T$191</f>
        <v>166.73248700303205</v>
      </c>
      <c r="M135" s="6">
        <f>M$31*$T$188</f>
        <v>2377.4334675</v>
      </c>
      <c r="N135" s="6">
        <f>N$34*$T$188</f>
        <v>2377.4334675</v>
      </c>
      <c r="Y135" s="6">
        <f t="shared" si="24"/>
        <v>5088.3319090060641</v>
      </c>
      <c r="Z135" s="3">
        <f t="shared" si="23"/>
        <v>4885169.1307272771</v>
      </c>
    </row>
    <row r="136" spans="1:26" x14ac:dyDescent="0.25">
      <c r="A136" s="6"/>
      <c r="B136" s="5" t="s">
        <v>511</v>
      </c>
      <c r="C136" t="s">
        <v>112</v>
      </c>
      <c r="D136" s="10">
        <f t="shared" si="25"/>
        <v>960.07281326927591</v>
      </c>
      <c r="G136" s="6"/>
      <c r="H136" s="6"/>
      <c r="M136" s="6"/>
      <c r="Y136" s="6">
        <f t="shared" si="24"/>
        <v>0</v>
      </c>
      <c r="Z136" s="3">
        <f t="shared" si="23"/>
        <v>0</v>
      </c>
    </row>
    <row r="137" spans="1:26" x14ac:dyDescent="0.25">
      <c r="A137" s="6"/>
      <c r="B137" s="5" t="s">
        <v>196</v>
      </c>
      <c r="C137" s="6">
        <f>C$24</f>
        <v>359.83124505397723</v>
      </c>
      <c r="D137" s="10">
        <f>D74</f>
        <v>379.92081737296741</v>
      </c>
      <c r="G137" s="6"/>
      <c r="H137" s="6"/>
      <c r="M137" s="6"/>
      <c r="Y137" s="6">
        <f t="shared" si="24"/>
        <v>0</v>
      </c>
      <c r="Z137" s="3">
        <f>C137*D137</f>
        <v>136707.38073723955</v>
      </c>
    </row>
    <row r="138" spans="1:26" x14ac:dyDescent="0.25">
      <c r="A138" s="6"/>
      <c r="B138" s="5" t="s">
        <v>497</v>
      </c>
      <c r="D138" s="10">
        <f>D25</f>
        <v>190</v>
      </c>
      <c r="E138" s="6">
        <f>E119+E120+E123+E125+E127+E129+E131+E133+E135+E136</f>
        <v>0</v>
      </c>
      <c r="F138" s="6">
        <f t="shared" ref="F138:Y138" si="26">F119+F120+F123+F125+F127+F129+F131+F133+F135+F136</f>
        <v>0</v>
      </c>
      <c r="G138" s="6">
        <f t="shared" si="26"/>
        <v>166.73248700303205</v>
      </c>
      <c r="H138" s="6">
        <f t="shared" si="26"/>
        <v>166.73248700303205</v>
      </c>
      <c r="I138" s="6">
        <f t="shared" si="26"/>
        <v>248.56726173503873</v>
      </c>
      <c r="J138" s="6">
        <f t="shared" si="26"/>
        <v>248.56726173503873</v>
      </c>
      <c r="K138" s="6">
        <f t="shared" si="26"/>
        <v>36.4341360488107</v>
      </c>
      <c r="L138" s="6">
        <f t="shared" si="26"/>
        <v>36.4341360488107</v>
      </c>
      <c r="M138" s="6">
        <f t="shared" si="26"/>
        <v>2377.4334675</v>
      </c>
      <c r="N138" s="6">
        <f t="shared" si="26"/>
        <v>2377.4334675</v>
      </c>
      <c r="O138" s="6">
        <f t="shared" si="26"/>
        <v>213.96901207499999</v>
      </c>
      <c r="P138" s="6">
        <f t="shared" si="26"/>
        <v>213.96901207499999</v>
      </c>
      <c r="Q138" s="6">
        <f t="shared" si="26"/>
        <v>289.15177933448626</v>
      </c>
      <c r="R138" s="6">
        <f t="shared" si="26"/>
        <v>289.15177933448626</v>
      </c>
      <c r="S138" s="6">
        <f t="shared" si="26"/>
        <v>2405.7362468749998</v>
      </c>
      <c r="T138" s="6">
        <f t="shared" si="26"/>
        <v>2405.7362468749998</v>
      </c>
      <c r="U138" s="6">
        <f t="shared" si="26"/>
        <v>189.72237476917968</v>
      </c>
      <c r="V138" s="6">
        <f t="shared" si="26"/>
        <v>189.72237476917968</v>
      </c>
      <c r="W138" s="6">
        <f t="shared" si="26"/>
        <v>2462.3418056249998</v>
      </c>
      <c r="X138" s="6">
        <f t="shared" si="26"/>
        <v>2462.3418056249998</v>
      </c>
      <c r="Y138" s="6">
        <f t="shared" si="26"/>
        <v>16780.177141931094</v>
      </c>
      <c r="Z138" s="3">
        <f>D138*Y138</f>
        <v>3188233.6569669079</v>
      </c>
    </row>
    <row r="139" spans="1:26" x14ac:dyDescent="0.25">
      <c r="A139" s="6"/>
      <c r="B139" s="5" t="s">
        <v>514</v>
      </c>
      <c r="G139" s="6"/>
      <c r="H139" s="6"/>
      <c r="M139" s="6"/>
      <c r="Y139" s="6"/>
      <c r="Z139" s="10">
        <f>SUM(Z117:Z138)</f>
        <v>25810271.528940372</v>
      </c>
    </row>
    <row r="140" spans="1:26" x14ac:dyDescent="0.25">
      <c r="A140" s="6"/>
      <c r="B140" s="5" t="s">
        <v>654</v>
      </c>
      <c r="E140" s="6"/>
      <c r="F140" s="6"/>
      <c r="M140" s="6"/>
      <c r="V140" s="6"/>
      <c r="Y140" s="6">
        <f>Y119+Y120+Y123++Y126+Y124+Y125+Y127+Y128+Y129+Y130+Y131+Y132+Y134+Y136+Y133+Y135</f>
        <v>33560.354283862187</v>
      </c>
      <c r="Z140" s="6"/>
    </row>
    <row r="141" spans="1:26" x14ac:dyDescent="0.25">
      <c r="A141" s="6"/>
      <c r="G141" s="6"/>
      <c r="H141" s="6"/>
      <c r="M141" s="6"/>
      <c r="Y141" s="6"/>
    </row>
    <row r="142" spans="1:26" x14ac:dyDescent="0.25">
      <c r="A142" s="6" t="s">
        <v>516</v>
      </c>
      <c r="B142" t="s">
        <v>156</v>
      </c>
      <c r="D142" s="10">
        <f>$D$13</f>
        <v>230572390.32921553</v>
      </c>
      <c r="G142" s="6"/>
      <c r="H142" s="6"/>
      <c r="M142" s="6"/>
      <c r="Y142" s="6"/>
    </row>
    <row r="143" spans="1:26" x14ac:dyDescent="0.25">
      <c r="A143" s="6"/>
      <c r="B143" t="s">
        <v>195</v>
      </c>
      <c r="D143" s="10"/>
      <c r="G143" s="6"/>
      <c r="H143" s="6"/>
      <c r="M143" s="6"/>
      <c r="Y143" s="6"/>
    </row>
    <row r="144" spans="1:26" x14ac:dyDescent="0.25">
      <c r="A144" s="6"/>
      <c r="B144" s="5" t="s">
        <v>94</v>
      </c>
      <c r="D144" s="10">
        <f>$D$15</f>
        <v>960.07281326927591</v>
      </c>
      <c r="G144" s="6"/>
      <c r="H144" s="6"/>
      <c r="M144" s="6"/>
      <c r="Y144" s="6"/>
      <c r="Z144" s="3">
        <f t="shared" ref="Z144:Z161" si="27">Y144*D144</f>
        <v>0</v>
      </c>
    </row>
    <row r="145" spans="1:26" x14ac:dyDescent="0.25">
      <c r="A145" s="6"/>
      <c r="B145" s="5" t="s">
        <v>95</v>
      </c>
      <c r="D145" s="10">
        <f>$D$16</f>
        <v>960.07281326927591</v>
      </c>
      <c r="G145" s="6"/>
      <c r="H145" s="6"/>
      <c r="M145" s="6"/>
      <c r="Y145" s="6"/>
      <c r="Z145" s="3">
        <f t="shared" si="27"/>
        <v>0</v>
      </c>
    </row>
    <row r="146" spans="1:26" x14ac:dyDescent="0.25">
      <c r="A146" s="6"/>
      <c r="B146" s="5"/>
      <c r="D146" s="10"/>
      <c r="G146" s="6"/>
      <c r="H146" s="6"/>
      <c r="M146" s="6"/>
      <c r="Y146" s="6"/>
      <c r="Z146" s="3"/>
    </row>
    <row r="147" spans="1:26" x14ac:dyDescent="0.25">
      <c r="A147" s="6"/>
      <c r="B147" s="5" t="s">
        <v>197</v>
      </c>
      <c r="C147" s="10"/>
      <c r="D147" s="10">
        <f>$C$18</f>
        <v>214.99599999999998</v>
      </c>
      <c r="G147" s="6"/>
      <c r="H147" s="6"/>
      <c r="K147" s="6"/>
      <c r="M147" s="6"/>
      <c r="Y147" s="6"/>
      <c r="Z147" s="3">
        <f t="shared" si="27"/>
        <v>0</v>
      </c>
    </row>
    <row r="148" spans="1:26" x14ac:dyDescent="0.25">
      <c r="A148" s="6"/>
      <c r="B148" s="5" t="s">
        <v>200</v>
      </c>
      <c r="C148" t="s">
        <v>112</v>
      </c>
      <c r="D148" s="10">
        <f>$D$19</f>
        <v>960.07281326927591</v>
      </c>
      <c r="G148" s="6"/>
      <c r="H148" s="6"/>
      <c r="M148" s="6"/>
      <c r="N148" s="6"/>
      <c r="Y148" s="6"/>
      <c r="Z148" s="3">
        <f t="shared" si="27"/>
        <v>0</v>
      </c>
    </row>
    <row r="149" spans="1:26" x14ac:dyDescent="0.25">
      <c r="A149" s="6"/>
      <c r="B149" s="5" t="s">
        <v>97</v>
      </c>
      <c r="C149" t="s">
        <v>123</v>
      </c>
      <c r="D149" s="10">
        <f>$D$20</f>
        <v>379.92081737296741</v>
      </c>
      <c r="G149" s="6"/>
      <c r="H149" s="6"/>
      <c r="M149" s="6"/>
      <c r="Y149" s="6"/>
      <c r="Z149" s="3">
        <f t="shared" si="27"/>
        <v>0</v>
      </c>
    </row>
    <row r="150" spans="1:26" x14ac:dyDescent="0.25">
      <c r="A150" s="6"/>
      <c r="B150" s="5" t="s">
        <v>98</v>
      </c>
      <c r="C150" t="s">
        <v>112</v>
      </c>
      <c r="D150" s="10">
        <f>$D$21</f>
        <v>960.07281326927591</v>
      </c>
      <c r="G150" s="6"/>
      <c r="H150" s="6"/>
      <c r="M150" s="6"/>
      <c r="Y150" s="6"/>
      <c r="Z150" s="3">
        <f t="shared" si="27"/>
        <v>0</v>
      </c>
    </row>
    <row r="151" spans="1:26" x14ac:dyDescent="0.25">
      <c r="A151" s="6"/>
      <c r="B151" s="5" t="s">
        <v>99</v>
      </c>
      <c r="C151" t="s">
        <v>123</v>
      </c>
      <c r="D151" s="10">
        <f>$D$22</f>
        <v>379.92081737296741</v>
      </c>
      <c r="G151" s="6"/>
      <c r="H151" s="6"/>
      <c r="M151" s="6"/>
      <c r="Y151" s="6"/>
      <c r="Z151" s="3">
        <f t="shared" si="27"/>
        <v>0</v>
      </c>
    </row>
    <row r="152" spans="1:26" x14ac:dyDescent="0.25">
      <c r="A152" s="6"/>
      <c r="B152" s="5" t="s">
        <v>100</v>
      </c>
      <c r="C152" t="s">
        <v>112</v>
      </c>
      <c r="D152" s="10">
        <f>$D$23</f>
        <v>960.07281326927591</v>
      </c>
      <c r="G152" s="6"/>
      <c r="H152" s="6"/>
      <c r="M152" s="6"/>
      <c r="Y152" s="6"/>
      <c r="Z152" s="3">
        <f t="shared" si="27"/>
        <v>0</v>
      </c>
    </row>
    <row r="153" spans="1:26" x14ac:dyDescent="0.25">
      <c r="A153" s="6"/>
      <c r="B153" s="5" t="s">
        <v>104</v>
      </c>
      <c r="C153" t="s">
        <v>123</v>
      </c>
      <c r="D153" s="10">
        <f>$D$40</f>
        <v>379.92081737296741</v>
      </c>
      <c r="G153" s="6"/>
      <c r="H153" s="6"/>
      <c r="M153" s="6"/>
      <c r="Y153" s="6"/>
      <c r="Z153" s="3">
        <f t="shared" si="27"/>
        <v>0</v>
      </c>
    </row>
    <row r="154" spans="1:26" x14ac:dyDescent="0.25">
      <c r="A154" s="6"/>
      <c r="B154" s="5" t="s">
        <v>105</v>
      </c>
      <c r="C154" t="s">
        <v>112</v>
      </c>
      <c r="D154" s="10">
        <f>$D$41</f>
        <v>960.07281326927591</v>
      </c>
      <c r="G154" s="6"/>
      <c r="H154" s="6"/>
      <c r="M154" s="6"/>
      <c r="Y154" s="6"/>
      <c r="Z154" s="3">
        <f t="shared" si="27"/>
        <v>0</v>
      </c>
    </row>
    <row r="155" spans="1:26" x14ac:dyDescent="0.25">
      <c r="A155" s="6"/>
      <c r="B155" s="5" t="s">
        <v>106</v>
      </c>
      <c r="C155" t="s">
        <v>123</v>
      </c>
      <c r="D155" s="10">
        <f>$D$60</f>
        <v>379.92081737296741</v>
      </c>
      <c r="G155" s="6"/>
      <c r="H155" s="6"/>
      <c r="M155" s="6"/>
      <c r="Y155" s="6"/>
      <c r="Z155" s="3">
        <f t="shared" si="27"/>
        <v>0</v>
      </c>
    </row>
    <row r="156" spans="1:26" x14ac:dyDescent="0.25">
      <c r="A156" s="6"/>
      <c r="B156" s="5" t="s">
        <v>107</v>
      </c>
      <c r="C156" t="s">
        <v>112</v>
      </c>
      <c r="D156" s="10">
        <f>$D$61</f>
        <v>960.07281326927591</v>
      </c>
      <c r="G156" s="6"/>
      <c r="H156" s="6"/>
      <c r="M156" s="6"/>
      <c r="Y156" s="6"/>
      <c r="Z156" s="3">
        <f t="shared" si="27"/>
        <v>0</v>
      </c>
    </row>
    <row r="157" spans="1:26" x14ac:dyDescent="0.25">
      <c r="A157" s="6"/>
      <c r="B157" s="5" t="s">
        <v>108</v>
      </c>
      <c r="C157" t="s">
        <v>123</v>
      </c>
      <c r="D157" s="10">
        <f>B$2</f>
        <v>379.92081737296741</v>
      </c>
      <c r="G157" s="6"/>
      <c r="H157" s="6"/>
      <c r="K157" s="6">
        <f>+'Duncan fertility'!$O$6*$E$19*$T$194</f>
        <v>35.99517055424672</v>
      </c>
      <c r="L157" s="6">
        <f>+'Duncan fertility'!$O$6*$F$19*$T$194</f>
        <v>35.99517055424672</v>
      </c>
      <c r="M157" s="6"/>
      <c r="Q157" s="6">
        <f>+'Duncan fertility'!$O$5*$M$31*$T$191</f>
        <v>285.70949624717093</v>
      </c>
      <c r="R157" s="6">
        <f>+'Duncan fertility'!$O$5*$N$34*$T$191</f>
        <v>285.70949624717093</v>
      </c>
      <c r="S157" s="6"/>
      <c r="T157" s="6"/>
      <c r="U157" s="6">
        <f>+'Duncan fertility'!$O$4*S$49*$T$188</f>
        <v>187.49034683071875</v>
      </c>
      <c r="V157" s="6">
        <f>+'Duncan fertility'!$O$4*T$52*$T$188</f>
        <v>187.49034683071875</v>
      </c>
      <c r="W157" s="6">
        <f>W$69*$T$185</f>
        <v>2405.7362468749998</v>
      </c>
      <c r="X157" s="6">
        <f>X$72*$T$185</f>
        <v>2405.7362468749998</v>
      </c>
      <c r="Y157" s="6">
        <f t="shared" ref="Y157:Y166" si="28">SUM(E157:X157)</f>
        <v>5829.8625210142727</v>
      </c>
      <c r="Z157" s="3">
        <f t="shared" si="27"/>
        <v>2214886.1341557708</v>
      </c>
    </row>
    <row r="158" spans="1:26" x14ac:dyDescent="0.25">
      <c r="A158" s="6"/>
      <c r="B158" s="5" t="s">
        <v>109</v>
      </c>
      <c r="C158" t="s">
        <v>112</v>
      </c>
      <c r="D158" s="10">
        <f>B$1</f>
        <v>960.07281326927591</v>
      </c>
      <c r="G158" s="6"/>
      <c r="H158" s="6"/>
      <c r="K158" s="6">
        <f>+'Duncan fertility'!$O$6*$E$19*$T$194</f>
        <v>35.99517055424672</v>
      </c>
      <c r="L158" s="6">
        <f>+'Duncan fertility'!$O$6*$F$19*$T$194</f>
        <v>35.99517055424672</v>
      </c>
      <c r="M158" s="6"/>
      <c r="Q158" s="6">
        <f>+'Duncan fertility'!$O$5*$M$31*$T$191</f>
        <v>285.70949624717093</v>
      </c>
      <c r="R158" s="6">
        <f>+'Duncan fertility'!$O$5*$N$34*$T$191</f>
        <v>285.70949624717093</v>
      </c>
      <c r="S158" s="6"/>
      <c r="T158" s="6"/>
      <c r="U158" s="6">
        <f>+'Duncan fertility'!$O$4*S$49*$T$188</f>
        <v>187.49034683071875</v>
      </c>
      <c r="V158" s="6">
        <f>+'Duncan fertility'!$O$4*T$52*$T$188</f>
        <v>187.49034683071875</v>
      </c>
      <c r="W158" s="6">
        <f>W$69*$T$185</f>
        <v>2405.7362468749998</v>
      </c>
      <c r="X158" s="6">
        <f>X$72*$T$185</f>
        <v>2405.7362468749998</v>
      </c>
      <c r="Y158" s="6">
        <f t="shared" si="28"/>
        <v>5829.8625210142727</v>
      </c>
      <c r="Z158" s="3">
        <f t="shared" si="27"/>
        <v>5597092.5115232859</v>
      </c>
    </row>
    <row r="159" spans="1:26" x14ac:dyDescent="0.25">
      <c r="A159" s="6"/>
      <c r="B159" s="5" t="s">
        <v>509</v>
      </c>
      <c r="C159" t="s">
        <v>123</v>
      </c>
      <c r="D159" s="10">
        <f>B$2</f>
        <v>379.92081737296741</v>
      </c>
      <c r="G159" s="6"/>
      <c r="H159" s="6"/>
      <c r="I159" s="6">
        <f>$I$49*$T$194</f>
        <v>245.5724754490744</v>
      </c>
      <c r="J159" s="6">
        <f>$J$49*$T$194</f>
        <v>245.5724754490744</v>
      </c>
      <c r="M159" s="6"/>
      <c r="O159" s="6">
        <f>0.09*$M$34*$T$191</f>
        <v>211.42176193124999</v>
      </c>
      <c r="P159" s="6">
        <f>0.09*$N$34*$T$191</f>
        <v>211.42176193124999</v>
      </c>
      <c r="R159" s="6"/>
      <c r="S159" s="6">
        <f>S$49*$T$188</f>
        <v>2377.4334675</v>
      </c>
      <c r="T159" s="6">
        <f>T$52*$T$188</f>
        <v>2377.4334675</v>
      </c>
      <c r="U159" s="6"/>
      <c r="V159" s="6"/>
      <c r="W159" s="6"/>
      <c r="X159" s="6"/>
      <c r="Y159" s="6">
        <f t="shared" si="28"/>
        <v>5668.8554097606484</v>
      </c>
      <c r="Z159" s="3">
        <f t="shared" si="27"/>
        <v>2153716.1808454334</v>
      </c>
    </row>
    <row r="160" spans="1:26" x14ac:dyDescent="0.25">
      <c r="A160" s="6"/>
      <c r="B160" s="5" t="s">
        <v>510</v>
      </c>
      <c r="C160" t="s">
        <v>112</v>
      </c>
      <c r="D160" s="10">
        <f t="shared" ref="D160:D161" si="29">B$1</f>
        <v>960.07281326927591</v>
      </c>
      <c r="G160" s="6"/>
      <c r="H160" s="6"/>
      <c r="I160" s="6">
        <f>$I$49*$T$194</f>
        <v>245.5724754490744</v>
      </c>
      <c r="J160" s="6">
        <f>$J$49*$T$194</f>
        <v>245.5724754490744</v>
      </c>
      <c r="M160" s="6"/>
      <c r="O160" s="6">
        <f>0.09*$M$34*$T$191</f>
        <v>211.42176193124999</v>
      </c>
      <c r="P160" s="6">
        <f>0.09*$N$34*$T$191</f>
        <v>211.42176193124999</v>
      </c>
      <c r="Q160" s="6"/>
      <c r="R160" s="6"/>
      <c r="S160" s="6">
        <f>S$49*$T$188</f>
        <v>2377.4334675</v>
      </c>
      <c r="T160" s="6">
        <f>T$52*$T$188</f>
        <v>2377.4334675</v>
      </c>
      <c r="U160" s="6"/>
      <c r="V160" s="6"/>
      <c r="W160" s="6"/>
      <c r="X160" s="6"/>
      <c r="Y160" s="6">
        <f t="shared" si="28"/>
        <v>5668.8554097606484</v>
      </c>
      <c r="Z160" s="3">
        <f t="shared" si="27"/>
        <v>5442513.9612656599</v>
      </c>
    </row>
    <row r="161" spans="1:26" x14ac:dyDescent="0.25">
      <c r="A161" s="6"/>
      <c r="B161" s="5" t="s">
        <v>511</v>
      </c>
      <c r="C161" t="s">
        <v>112</v>
      </c>
      <c r="D161" s="10">
        <f t="shared" si="29"/>
        <v>960.07281326927591</v>
      </c>
      <c r="E161" s="6">
        <f>E$15*$T$194</f>
        <v>2320.82790875</v>
      </c>
      <c r="F161" s="6">
        <f>F$18*$T$194</f>
        <v>2320.82790875</v>
      </c>
      <c r="G161" s="6"/>
      <c r="H161" s="6"/>
      <c r="M161" s="6"/>
      <c r="N161" s="6"/>
      <c r="Y161" s="6">
        <f t="shared" si="28"/>
        <v>4641.6558175</v>
      </c>
      <c r="Z161" s="3">
        <f t="shared" si="27"/>
        <v>4456327.5589349261</v>
      </c>
    </row>
    <row r="162" spans="1:26" x14ac:dyDescent="0.25">
      <c r="A162" s="6"/>
      <c r="B162" s="6" t="s">
        <v>196</v>
      </c>
      <c r="C162" s="6">
        <f>C$24</f>
        <v>359.83124505397723</v>
      </c>
      <c r="D162" s="6">
        <f>D99</f>
        <v>379.92081737296741</v>
      </c>
      <c r="E162" s="6"/>
      <c r="F162" s="6"/>
      <c r="G162" s="6"/>
      <c r="H162" s="6"/>
      <c r="I162" s="6"/>
      <c r="J162" s="6"/>
      <c r="K162" s="6"/>
      <c r="L162" s="6"/>
      <c r="M162" s="6"/>
      <c r="N162" s="6"/>
      <c r="O162" s="6"/>
      <c r="P162" s="6"/>
      <c r="Q162" s="6"/>
      <c r="R162" s="6"/>
      <c r="S162" s="6"/>
      <c r="T162" s="6"/>
      <c r="U162" s="6"/>
      <c r="V162" s="6"/>
      <c r="W162" s="6"/>
      <c r="X162" s="6"/>
      <c r="Y162" s="6">
        <f t="shared" si="28"/>
        <v>0</v>
      </c>
      <c r="Z162" s="3">
        <f>C162*D162</f>
        <v>136707.38073723955</v>
      </c>
    </row>
    <row r="163" spans="1:26" x14ac:dyDescent="0.25">
      <c r="A163" s="6"/>
      <c r="B163" s="5" t="s">
        <v>497</v>
      </c>
      <c r="D163" s="10">
        <f>D25</f>
        <v>190</v>
      </c>
      <c r="E163" s="6">
        <f>E144+E145+E148+E150+E152+E154+E156+E158+E160+E161</f>
        <v>2320.82790875</v>
      </c>
      <c r="F163" s="6">
        <f t="shared" ref="F163:Y163" si="30">F144+F145+F148+F150+F152+F154+F156+F158+F160+F161</f>
        <v>2320.82790875</v>
      </c>
      <c r="G163" s="6">
        <f t="shared" si="30"/>
        <v>0</v>
      </c>
      <c r="H163" s="6">
        <f t="shared" si="30"/>
        <v>0</v>
      </c>
      <c r="I163" s="6">
        <f t="shared" si="30"/>
        <v>245.5724754490744</v>
      </c>
      <c r="J163" s="6">
        <f t="shared" si="30"/>
        <v>245.5724754490744</v>
      </c>
      <c r="K163" s="6">
        <f t="shared" si="30"/>
        <v>35.99517055424672</v>
      </c>
      <c r="L163" s="6">
        <f t="shared" si="30"/>
        <v>35.99517055424672</v>
      </c>
      <c r="M163" s="6">
        <f t="shared" si="30"/>
        <v>0</v>
      </c>
      <c r="N163" s="6">
        <f t="shared" si="30"/>
        <v>0</v>
      </c>
      <c r="O163" s="6">
        <f t="shared" si="30"/>
        <v>211.42176193124999</v>
      </c>
      <c r="P163" s="6">
        <f t="shared" si="30"/>
        <v>211.42176193124999</v>
      </c>
      <c r="Q163" s="6">
        <f t="shared" si="30"/>
        <v>285.70949624717093</v>
      </c>
      <c r="R163" s="6">
        <f t="shared" si="30"/>
        <v>285.70949624717093</v>
      </c>
      <c r="S163" s="6">
        <f t="shared" si="30"/>
        <v>2377.4334675</v>
      </c>
      <c r="T163" s="6">
        <f t="shared" si="30"/>
        <v>2377.4334675</v>
      </c>
      <c r="U163" s="6">
        <f t="shared" si="30"/>
        <v>187.49034683071875</v>
      </c>
      <c r="V163" s="6">
        <f t="shared" si="30"/>
        <v>187.49034683071875</v>
      </c>
      <c r="W163" s="6">
        <f t="shared" si="30"/>
        <v>2405.7362468749998</v>
      </c>
      <c r="X163" s="6">
        <f t="shared" si="30"/>
        <v>2405.7362468749998</v>
      </c>
      <c r="Y163" s="6">
        <f t="shared" si="30"/>
        <v>16140.37374827492</v>
      </c>
      <c r="Z163" s="3">
        <f>D163*Y163</f>
        <v>3066671.0121722347</v>
      </c>
    </row>
    <row r="164" spans="1:26" x14ac:dyDescent="0.25">
      <c r="A164" s="6"/>
      <c r="B164" s="5" t="s">
        <v>517</v>
      </c>
      <c r="E164" s="6"/>
      <c r="G164" s="6"/>
      <c r="H164" s="6"/>
      <c r="Y164" s="6">
        <f t="shared" si="28"/>
        <v>0</v>
      </c>
      <c r="Z164" s="10">
        <f>SUM(Z142:Z163)</f>
        <v>23067914.739634551</v>
      </c>
    </row>
    <row r="165" spans="1:26" x14ac:dyDescent="0.25">
      <c r="A165" s="6"/>
      <c r="B165" s="5" t="s">
        <v>654</v>
      </c>
      <c r="E165" s="6"/>
      <c r="F165" s="6"/>
      <c r="M165" s="6"/>
      <c r="V165" s="6"/>
      <c r="Y165" s="6">
        <f>Y144+Y145+Y148++Y151+Y149+Y150+Y152+Y153+Y154+Y155+Y156+Y157+Y159+Y161+Y158+Y160</f>
        <v>27639.091679049838</v>
      </c>
      <c r="Z165" s="6"/>
    </row>
    <row r="166" spans="1:26" x14ac:dyDescent="0.25">
      <c r="A166" s="6"/>
      <c r="E166" s="6"/>
      <c r="G166" s="6"/>
      <c r="H166" s="6"/>
      <c r="Y166" s="6">
        <f t="shared" si="28"/>
        <v>0</v>
      </c>
    </row>
    <row r="167" spans="1:26" x14ac:dyDescent="0.25">
      <c r="A167" s="6"/>
      <c r="B167" s="5" t="s">
        <v>508</v>
      </c>
      <c r="E167" s="6"/>
      <c r="G167" s="6"/>
      <c r="H167" s="6"/>
      <c r="Z167" s="6">
        <f>E14+F14+M30+N30+S48+T48+W68+X68</f>
        <v>22100</v>
      </c>
    </row>
    <row r="168" spans="1:26" x14ac:dyDescent="0.25">
      <c r="A168" s="6"/>
      <c r="B168" s="159" t="s">
        <v>504</v>
      </c>
      <c r="C168" s="6"/>
      <c r="D168" s="6"/>
      <c r="E168" s="6"/>
      <c r="F168" s="6"/>
      <c r="G168" s="6"/>
      <c r="H168" s="6"/>
      <c r="I168" s="6"/>
      <c r="J168" s="6"/>
      <c r="K168" s="6"/>
      <c r="L168" s="6"/>
      <c r="M168" s="6"/>
      <c r="N168" s="6"/>
      <c r="O168" s="6"/>
      <c r="P168" s="6"/>
      <c r="Q168" s="6"/>
      <c r="R168" s="6"/>
      <c r="S168" s="6"/>
      <c r="T168" s="6"/>
      <c r="U168" s="6"/>
      <c r="V168" s="6"/>
      <c r="W168" s="6"/>
      <c r="X168" s="6"/>
      <c r="Z168" s="6">
        <f>G31+H31+I49+J49+K69+L69+O49+P49+Q69+R69+U69+V69</f>
        <v>2900.7038283271509</v>
      </c>
    </row>
    <row r="169" spans="1:26" x14ac:dyDescent="0.25">
      <c r="A169" s="6"/>
      <c r="B169" s="160" t="s">
        <v>507</v>
      </c>
      <c r="C169" s="6"/>
      <c r="D169" s="6"/>
      <c r="E169" s="6"/>
      <c r="F169" s="6"/>
      <c r="G169" s="6"/>
      <c r="H169" s="6"/>
      <c r="I169" s="6"/>
      <c r="J169" s="6"/>
      <c r="K169" s="6"/>
      <c r="L169" s="6"/>
      <c r="M169" s="6"/>
      <c r="N169" s="6"/>
      <c r="O169" s="6"/>
      <c r="P169" s="6"/>
      <c r="Q169" s="6"/>
      <c r="R169" s="6"/>
      <c r="S169" s="6"/>
      <c r="T169" s="6"/>
      <c r="U169" s="6"/>
      <c r="V169" s="6"/>
      <c r="W169" s="6"/>
      <c r="X169" s="6"/>
      <c r="Z169" s="167">
        <f>SUM(Z167:Z168)</f>
        <v>25000.70382832715</v>
      </c>
    </row>
    <row r="170" spans="1:26" ht="16.5" customHeight="1" x14ac:dyDescent="0.25">
      <c r="B170" s="14" t="s">
        <v>155</v>
      </c>
      <c r="E170" s="6"/>
      <c r="G170" s="6"/>
      <c r="H170" s="6"/>
      <c r="Z170" s="10">
        <f>Z15+Z16+Z31+Z32+Z49+Z50+Z69+Z70</f>
        <v>24026945.307075191</v>
      </c>
    </row>
    <row r="171" spans="1:26" x14ac:dyDescent="0.25">
      <c r="B171" s="14" t="s">
        <v>499</v>
      </c>
      <c r="E171" s="6"/>
      <c r="G171" s="6"/>
      <c r="H171" s="6"/>
      <c r="Z171" s="10">
        <f>Z25+Z43+Z63+Z88+Z113+Z138+Z163</f>
        <v>31011354.658327598</v>
      </c>
    </row>
    <row r="172" spans="1:26" x14ac:dyDescent="0.25">
      <c r="B172" t="s">
        <v>505</v>
      </c>
      <c r="E172" s="6"/>
      <c r="G172" s="6"/>
      <c r="H172" s="6"/>
      <c r="Z172" s="10">
        <f>Z114-0.5*Z170</f>
        <v>21906122.554442994</v>
      </c>
    </row>
    <row r="173" spans="1:26" x14ac:dyDescent="0.25">
      <c r="B173" s="14" t="s">
        <v>143</v>
      </c>
      <c r="E173" s="6"/>
      <c r="G173" s="6"/>
      <c r="H173" s="6"/>
      <c r="L173" s="328">
        <v>2</v>
      </c>
      <c r="M173" s="328">
        <v>3</v>
      </c>
      <c r="N173" s="328">
        <v>4</v>
      </c>
      <c r="O173" s="328">
        <v>5</v>
      </c>
      <c r="P173" s="328">
        <v>6</v>
      </c>
      <c r="Q173" s="328">
        <v>7</v>
      </c>
      <c r="R173" s="328">
        <v>8</v>
      </c>
      <c r="S173" s="328"/>
      <c r="Z173" s="10">
        <f>Z13+Z29+Z47+Z67</f>
        <v>76543756.843092605</v>
      </c>
    </row>
    <row r="174" spans="1:26" ht="72" customHeight="1" x14ac:dyDescent="0.25">
      <c r="E174" s="6"/>
      <c r="G174" s="6"/>
      <c r="H174" s="6"/>
      <c r="I174" s="164" t="s">
        <v>666</v>
      </c>
      <c r="K174" s="169" t="s">
        <v>535</v>
      </c>
      <c r="L174" s="164" t="s">
        <v>639</v>
      </c>
      <c r="M174" s="164" t="s">
        <v>644</v>
      </c>
      <c r="N174" s="164" t="s">
        <v>645</v>
      </c>
      <c r="O174" s="164" t="s">
        <v>646</v>
      </c>
      <c r="P174" s="164" t="s">
        <v>647</v>
      </c>
      <c r="Q174" s="164" t="s">
        <v>660</v>
      </c>
      <c r="R174" s="164" t="s">
        <v>668</v>
      </c>
      <c r="S174" s="164"/>
      <c r="T174" s="326" t="s">
        <v>536</v>
      </c>
    </row>
    <row r="175" spans="1:26" x14ac:dyDescent="0.25">
      <c r="B175" s="161"/>
      <c r="C175" t="s">
        <v>521</v>
      </c>
      <c r="D175" t="s">
        <v>519</v>
      </c>
      <c r="E175" s="6" t="s">
        <v>522</v>
      </c>
      <c r="F175" t="s">
        <v>523</v>
      </c>
      <c r="G175" t="s">
        <v>524</v>
      </c>
      <c r="H175" t="s">
        <v>525</v>
      </c>
      <c r="I175" s="11" t="s">
        <v>263</v>
      </c>
    </row>
    <row r="176" spans="1:26" x14ac:dyDescent="0.25">
      <c r="A176" s="161" t="s">
        <v>526</v>
      </c>
      <c r="B176" s="161">
        <v>1.02</v>
      </c>
      <c r="C176">
        <v>1</v>
      </c>
      <c r="D176" t="s">
        <v>38</v>
      </c>
      <c r="E176" s="6">
        <f>Z26*B176</f>
        <v>62335010.807801701</v>
      </c>
      <c r="F176" s="10"/>
      <c r="G176" s="10"/>
      <c r="H176" s="10"/>
      <c r="I176" s="10">
        <f>SUM(E176:H176)</f>
        <v>62335010.807801701</v>
      </c>
      <c r="K176" s="10">
        <v>62335010.807801701</v>
      </c>
      <c r="L176" s="10">
        <v>70006714.11052759</v>
      </c>
      <c r="M176" s="10">
        <v>62295245.132125773</v>
      </c>
      <c r="N176" s="10">
        <v>53180030.375156149</v>
      </c>
      <c r="O176" s="10">
        <v>59960976.84019801</v>
      </c>
      <c r="P176" s="10">
        <v>55514298.667083912</v>
      </c>
      <c r="Q176" s="10">
        <v>59006486.096580476</v>
      </c>
      <c r="R176" s="10">
        <v>60910134.397019133</v>
      </c>
      <c r="T176" s="165">
        <v>1</v>
      </c>
    </row>
    <row r="177" spans="1:20" x14ac:dyDescent="0.25">
      <c r="A177" s="28">
        <v>1.02</v>
      </c>
      <c r="B177">
        <v>1.02</v>
      </c>
      <c r="C177">
        <v>1</v>
      </c>
      <c r="D177" t="s">
        <v>520</v>
      </c>
      <c r="E177" s="6">
        <f>Z25*B177</f>
        <v>3291047.1857250002</v>
      </c>
      <c r="F177" s="10"/>
      <c r="G177" s="10"/>
      <c r="H177" s="10"/>
      <c r="I177" s="10">
        <f>SUM(E177:H177)</f>
        <v>3291047.1857250002</v>
      </c>
      <c r="K177" s="10">
        <v>3291047.1857250002</v>
      </c>
      <c r="L177" s="10">
        <v>4167562.752856425</v>
      </c>
      <c r="M177" s="10">
        <v>4167562.752856425</v>
      </c>
      <c r="N177" s="10">
        <v>3070547.0242814249</v>
      </c>
      <c r="O177" s="10">
        <v>4167562.752856425</v>
      </c>
      <c r="P177" s="10">
        <v>3070547.0242814249</v>
      </c>
      <c r="Q177" s="10">
        <v>3635510.1244975501</v>
      </c>
      <c r="R177" s="10">
        <v>4011420.5827494059</v>
      </c>
      <c r="T177" s="165">
        <v>1</v>
      </c>
    </row>
    <row r="178" spans="1:20" x14ac:dyDescent="0.25">
      <c r="C178">
        <v>1</v>
      </c>
      <c r="D178" t="s">
        <v>653</v>
      </c>
      <c r="E178" s="6">
        <f>Y27</f>
        <v>33963.335249999996</v>
      </c>
      <c r="F178" s="10"/>
      <c r="G178" s="10"/>
      <c r="H178" s="10"/>
      <c r="I178" s="4">
        <f>SUM(E178:H178)</f>
        <v>33963.335249999996</v>
      </c>
      <c r="K178" s="6">
        <v>33963.335249999996</v>
      </c>
      <c r="L178" s="6">
        <v>38486.119394124995</v>
      </c>
      <c r="M178" s="6">
        <v>38486.119394124995</v>
      </c>
      <c r="N178" s="6">
        <v>27165.007644124998</v>
      </c>
      <c r="O178" s="6">
        <v>32825.563519124997</v>
      </c>
      <c r="P178" s="6">
        <v>32825.563519124997</v>
      </c>
      <c r="Q178" s="6">
        <v>35740.749794749994</v>
      </c>
      <c r="R178" s="4">
        <v>37044.196006869999</v>
      </c>
      <c r="T178" s="165"/>
    </row>
    <row r="179" spans="1:20" x14ac:dyDescent="0.25">
      <c r="B179">
        <f>B176*$A$177</f>
        <v>1.0404</v>
      </c>
      <c r="C179">
        <f>C176+1</f>
        <v>2</v>
      </c>
      <c r="D179" t="s">
        <v>38</v>
      </c>
      <c r="E179" s="6">
        <f>Z44*B179</f>
        <v>61701730.933837563</v>
      </c>
      <c r="F179" s="10">
        <f>E176*B179</f>
        <v>64853345.24443689</v>
      </c>
      <c r="G179" s="10"/>
      <c r="H179" s="10"/>
      <c r="I179" s="10">
        <f t="shared" ref="I179:I180" si="31">SUM(E179:H179)</f>
        <v>126555076.17827445</v>
      </c>
      <c r="K179" s="10">
        <v>126555076.17827445</v>
      </c>
      <c r="L179" s="10">
        <v>142104598.79751885</v>
      </c>
      <c r="M179" s="10">
        <v>129165524.99865845</v>
      </c>
      <c r="N179" s="10">
        <v>109745004.7815465</v>
      </c>
      <c r="O179" s="10">
        <v>124197193.10030369</v>
      </c>
      <c r="P179" s="10">
        <v>114713336.67990123</v>
      </c>
      <c r="Q179" s="10">
        <v>122149002.77072842</v>
      </c>
      <c r="R179" s="10">
        <v>125918271.41194552</v>
      </c>
      <c r="T179" s="165">
        <v>0.9</v>
      </c>
    </row>
    <row r="180" spans="1:20" x14ac:dyDescent="0.25">
      <c r="B180">
        <f>B177*$A$177</f>
        <v>1.0404</v>
      </c>
      <c r="C180">
        <f>C177+1</f>
        <v>2</v>
      </c>
      <c r="D180" t="s">
        <v>520</v>
      </c>
      <c r="E180" s="6">
        <f>Z43*B180</f>
        <v>4026293.1633130126</v>
      </c>
      <c r="F180" s="10">
        <f>E177*B180</f>
        <v>3424005.4920282904</v>
      </c>
      <c r="G180" s="10"/>
      <c r="H180" s="10"/>
      <c r="I180" s="10">
        <f t="shared" si="31"/>
        <v>7450298.655341303</v>
      </c>
      <c r="K180" s="10">
        <v>7450298.655341303</v>
      </c>
      <c r="L180" s="10">
        <v>9861067.0711795725</v>
      </c>
      <c r="M180" s="10">
        <v>9861067.0711795725</v>
      </c>
      <c r="N180" s="10">
        <v>7521356.5601662677</v>
      </c>
      <c r="O180" s="10">
        <v>9861067.0711795725</v>
      </c>
      <c r="P180" s="10">
        <v>7521356.5601662677</v>
      </c>
      <c r="Q180" s="10">
        <v>8725116.1837802604</v>
      </c>
      <c r="R180" s="10">
        <v>9491611.7076077778</v>
      </c>
      <c r="T180" s="165">
        <v>0.9</v>
      </c>
    </row>
    <row r="181" spans="1:20" x14ac:dyDescent="0.25">
      <c r="C181">
        <v>2</v>
      </c>
      <c r="D181" t="s">
        <v>653</v>
      </c>
      <c r="E181" s="6">
        <f>Y45</f>
        <v>46904.426273122335</v>
      </c>
      <c r="F181" s="4">
        <f>E178</f>
        <v>33963.335249999996</v>
      </c>
      <c r="G181" s="10"/>
      <c r="H181" s="10"/>
      <c r="I181" s="4">
        <f>SUM(E181:H181)</f>
        <v>80867.761523122332</v>
      </c>
      <c r="K181" s="6">
        <v>80867.761523122332</v>
      </c>
      <c r="L181" s="6">
        <v>89913.329811372329</v>
      </c>
      <c r="M181" s="6">
        <v>89913.329811372329</v>
      </c>
      <c r="N181" s="6">
        <v>66467.576253526408</v>
      </c>
      <c r="O181" s="6">
        <v>78190.453032449353</v>
      </c>
      <c r="P181" s="6">
        <v>78190.453032449368</v>
      </c>
      <c r="Q181" s="6">
        <v>84221.708098160845</v>
      </c>
      <c r="R181" s="4">
        <v>86544.631300792404</v>
      </c>
      <c r="T181" s="165"/>
    </row>
    <row r="182" spans="1:20" x14ac:dyDescent="0.25">
      <c r="B182">
        <f>B179*$A$177</f>
        <v>1.0612079999999999</v>
      </c>
      <c r="C182">
        <f>C179+1</f>
        <v>3</v>
      </c>
      <c r="D182" t="s">
        <v>38</v>
      </c>
      <c r="E182" s="6">
        <f>Z64*B182</f>
        <v>72109796.097118467</v>
      </c>
      <c r="F182" s="10">
        <f>E179*B182</f>
        <v>65478370.480835885</v>
      </c>
      <c r="G182" s="10">
        <f>F179*B182</f>
        <v>68822888.800158381</v>
      </c>
      <c r="H182" s="10"/>
      <c r="I182" s="10">
        <f t="shared" ref="I182:I183" si="32">SUM(E182:H182)</f>
        <v>206411055.37811273</v>
      </c>
      <c r="K182" s="10">
        <v>206411055.37811273</v>
      </c>
      <c r="L182" s="10">
        <v>229721584.46845454</v>
      </c>
      <c r="M182" s="10">
        <v>211979029.67794889</v>
      </c>
      <c r="N182" s="10">
        <v>180261534.6117515</v>
      </c>
      <c r="O182" s="10">
        <v>203874557.17136273</v>
      </c>
      <c r="P182" s="10">
        <v>188366007.1183376</v>
      </c>
      <c r="Q182" s="10">
        <v>200500741.25890538</v>
      </c>
      <c r="R182" s="10">
        <v>206220117.6482228</v>
      </c>
      <c r="T182" s="165">
        <v>0.87</v>
      </c>
    </row>
    <row r="183" spans="1:20" x14ac:dyDescent="0.25">
      <c r="B183">
        <f>B180*$A$177</f>
        <v>1.0612079999999999</v>
      </c>
      <c r="C183">
        <f>C180+1</f>
        <v>3</v>
      </c>
      <c r="D183" t="s">
        <v>520</v>
      </c>
      <c r="E183" s="6">
        <f>Z63*B183</f>
        <v>6299310.5096092811</v>
      </c>
      <c r="F183" s="10">
        <f>E180*B183</f>
        <v>4272734.5152530754</v>
      </c>
      <c r="G183" s="10">
        <f>F180*B183</f>
        <v>3633582.0201843577</v>
      </c>
      <c r="H183" s="10"/>
      <c r="I183" s="10">
        <f t="shared" si="32"/>
        <v>14205627.045046713</v>
      </c>
      <c r="K183" s="10">
        <v>14205627.045046713</v>
      </c>
      <c r="L183" s="10">
        <v>17675880.570125148</v>
      </c>
      <c r="M183" s="10">
        <v>17675880.570125148</v>
      </c>
      <c r="N183" s="10">
        <v>13849850.739941468</v>
      </c>
      <c r="O183" s="10">
        <v>17675880.570125148</v>
      </c>
      <c r="P183" s="10">
        <v>13849850.739941468</v>
      </c>
      <c r="Q183" s="10">
        <v>15815965.269163903</v>
      </c>
      <c r="R183" s="10">
        <v>17013634.908945799</v>
      </c>
      <c r="T183" s="165">
        <v>0.87</v>
      </c>
    </row>
    <row r="184" spans="1:20" x14ac:dyDescent="0.25">
      <c r="C184">
        <v>3</v>
      </c>
      <c r="D184" t="s">
        <v>653</v>
      </c>
      <c r="E184" s="6">
        <f>Y65</f>
        <v>61633.396429977875</v>
      </c>
      <c r="F184" s="4">
        <f>E181</f>
        <v>46904.426273122335</v>
      </c>
      <c r="G184" s="4">
        <f>F181</f>
        <v>33963.335249999996</v>
      </c>
      <c r="H184" s="10"/>
      <c r="I184" s="4">
        <f>SUM(E184:H184)</f>
        <v>142501.15795310022</v>
      </c>
      <c r="K184" s="6">
        <v>142501.15795310022</v>
      </c>
      <c r="L184" s="6">
        <v>156069.51038547521</v>
      </c>
      <c r="M184" s="6">
        <v>156069.51038547521</v>
      </c>
      <c r="N184" s="6">
        <v>119301.2005053976</v>
      </c>
      <c r="O184" s="6">
        <v>137685.35544543641</v>
      </c>
      <c r="P184" s="6">
        <v>137685.35544543641</v>
      </c>
      <c r="Q184" s="6">
        <v>147132.15792983081</v>
      </c>
      <c r="R184" s="4">
        <v>150222.20022261667</v>
      </c>
      <c r="T184" s="165"/>
    </row>
    <row r="185" spans="1:20" x14ac:dyDescent="0.25">
      <c r="B185">
        <f>B182*$A$177</f>
        <v>1.08243216</v>
      </c>
      <c r="C185">
        <f>C182+1</f>
        <v>4</v>
      </c>
      <c r="D185" t="s">
        <v>38</v>
      </c>
      <c r="E185" s="6">
        <f>Z89*B185</f>
        <v>83345845.017931178</v>
      </c>
      <c r="F185" s="10">
        <f>E182*B185</f>
        <v>78053962.346563503</v>
      </c>
      <c r="G185" s="10">
        <f>F182*B185</f>
        <v>70875893.992851421</v>
      </c>
      <c r="H185" s="10">
        <f>G182*B185</f>
        <v>74496108.181395248</v>
      </c>
      <c r="I185" s="10">
        <f>SUM(E185:H185)</f>
        <v>306771809.53874135</v>
      </c>
      <c r="K185" s="10">
        <v>306771809.53874135</v>
      </c>
      <c r="L185" s="10">
        <v>339643936.21049273</v>
      </c>
      <c r="M185" s="10">
        <v>317370022.09032547</v>
      </c>
      <c r="N185" s="10">
        <v>270883628.76647997</v>
      </c>
      <c r="O185" s="10">
        <v>305504211.89577341</v>
      </c>
      <c r="P185" s="10">
        <v>282749438.96103197</v>
      </c>
      <c r="Q185" s="10">
        <v>303940593.60009623</v>
      </c>
      <c r="R185" s="10">
        <v>308220079.20438063</v>
      </c>
      <c r="T185" s="165">
        <v>0.85</v>
      </c>
    </row>
    <row r="186" spans="1:20" x14ac:dyDescent="0.25">
      <c r="B186">
        <f>B183*$A$177</f>
        <v>1.08243216</v>
      </c>
      <c r="C186">
        <f>C183+1</f>
        <v>4</v>
      </c>
      <c r="D186" t="s">
        <v>520</v>
      </c>
      <c r="E186" s="6">
        <f>Z88*B186</f>
        <v>8177397.1723029558</v>
      </c>
      <c r="F186" s="10">
        <f>E183*B186</f>
        <v>6818576.2814270752</v>
      </c>
      <c r="G186" s="10">
        <f>F183*B186</f>
        <v>4624945.2504519392</v>
      </c>
      <c r="H186" s="10">
        <f>G183*B186</f>
        <v>3933106.0346453176</v>
      </c>
      <c r="I186" s="10">
        <f>SUM(E186:H186)</f>
        <v>23554024.738827288</v>
      </c>
      <c r="K186" s="10">
        <v>23554024.738827288</v>
      </c>
      <c r="L186" s="10">
        <v>28404650.912977796</v>
      </c>
      <c r="M186" s="10">
        <v>28404650.912977796</v>
      </c>
      <c r="N186" s="10">
        <v>22790944.942419011</v>
      </c>
      <c r="O186" s="10">
        <v>28404650.912977796</v>
      </c>
      <c r="P186" s="10">
        <v>22790944.942419011</v>
      </c>
      <c r="Q186" s="10">
        <v>26237355.591361757</v>
      </c>
      <c r="R186" s="10">
        <v>27340440.462482516</v>
      </c>
      <c r="T186" s="165">
        <v>0.85</v>
      </c>
    </row>
    <row r="187" spans="1:20" x14ac:dyDescent="0.25">
      <c r="C187">
        <v>4</v>
      </c>
      <c r="D187" t="s">
        <v>653</v>
      </c>
      <c r="E187" s="6">
        <f>Y90</f>
        <v>77400.074418604781</v>
      </c>
      <c r="F187" s="4">
        <f>E184</f>
        <v>61633.396429977875</v>
      </c>
      <c r="G187" s="4">
        <f>F184</f>
        <v>46904.426273122335</v>
      </c>
      <c r="H187" s="4">
        <f>G184</f>
        <v>33963.335249999996</v>
      </c>
      <c r="I187" s="4">
        <f>SUM(E187:H187)</f>
        <v>219901.232371705</v>
      </c>
      <c r="K187" s="6">
        <v>219901.232371705</v>
      </c>
      <c r="L187" s="6">
        <v>238790.50732658</v>
      </c>
      <c r="M187" s="6">
        <v>238790.50732658</v>
      </c>
      <c r="N187" s="6">
        <v>187704.65266992568</v>
      </c>
      <c r="O187" s="6">
        <v>213247.57999825283</v>
      </c>
      <c r="P187" s="6">
        <v>213247.57999825283</v>
      </c>
      <c r="Q187" s="6">
        <v>229104.04661429144</v>
      </c>
      <c r="R187" s="4">
        <v>229843.96705208183</v>
      </c>
      <c r="T187" s="165"/>
    </row>
    <row r="188" spans="1:20" x14ac:dyDescent="0.25">
      <c r="B188">
        <f>B185*$A$177</f>
        <v>1.1040808032</v>
      </c>
      <c r="C188">
        <f>C185+1</f>
        <v>5</v>
      </c>
      <c r="D188" t="s">
        <v>38</v>
      </c>
      <c r="E188" s="6">
        <f>Z114*B188</f>
        <v>37449973.921446078</v>
      </c>
      <c r="F188" s="10">
        <f>E185*B188</f>
        <v>92020547.510780171</v>
      </c>
      <c r="G188" s="10">
        <f>F185*B188</f>
        <v>86177881.440536395</v>
      </c>
      <c r="H188" s="10">
        <f>G185*B188</f>
        <v>78252713.967145458</v>
      </c>
      <c r="I188" s="10">
        <f t="shared" ref="I188:I189" si="33">SUM(E188:H188)</f>
        <v>293901116.83990806</v>
      </c>
      <c r="K188" s="10">
        <v>293901116.83990806</v>
      </c>
      <c r="L188" s="10">
        <v>320122743.7555784</v>
      </c>
      <c r="M188" s="10">
        <v>305705662.31239569</v>
      </c>
      <c r="N188" s="10">
        <v>266281119.99720827</v>
      </c>
      <c r="O188" s="10">
        <v>295621296.43621379</v>
      </c>
      <c r="P188" s="10">
        <v>276365485.87339014</v>
      </c>
      <c r="Q188" s="10">
        <v>295187104.34136039</v>
      </c>
      <c r="R188" s="10">
        <v>296026004.13144433</v>
      </c>
      <c r="T188" s="165">
        <v>0.84</v>
      </c>
    </row>
    <row r="189" spans="1:20" x14ac:dyDescent="0.25">
      <c r="B189">
        <f>B186*$A$177</f>
        <v>1.1040808032</v>
      </c>
      <c r="C189">
        <f>C186+1</f>
        <v>5</v>
      </c>
      <c r="D189" t="s">
        <v>520</v>
      </c>
      <c r="E189" s="6">
        <f>Z113*$B189</f>
        <v>4603303.589337999</v>
      </c>
      <c r="F189" s="10">
        <f>E186*B189</f>
        <v>9028507.2380816564</v>
      </c>
      <c r="G189" s="10">
        <f>F186*B189</f>
        <v>7528259.1774784746</v>
      </c>
      <c r="H189" s="10">
        <f>G186*B189</f>
        <v>5106313.2668750025</v>
      </c>
      <c r="I189" s="10">
        <f t="shared" si="33"/>
        <v>26266383.271773133</v>
      </c>
      <c r="K189" s="10">
        <v>26266383.271773133</v>
      </c>
      <c r="L189" s="10">
        <v>30465322.837828241</v>
      </c>
      <c r="M189" s="10">
        <v>30465322.837828241</v>
      </c>
      <c r="N189" s="10">
        <v>25714826.797525719</v>
      </c>
      <c r="O189" s="10">
        <v>30465322.837828241</v>
      </c>
      <c r="P189" s="10">
        <v>25714826.797525719</v>
      </c>
      <c r="Q189" s="10">
        <v>28774485.822318122</v>
      </c>
      <c r="R189" s="10">
        <v>29323907.122456215</v>
      </c>
      <c r="T189" s="165">
        <v>0.84</v>
      </c>
    </row>
    <row r="190" spans="1:20" x14ac:dyDescent="0.25">
      <c r="C190">
        <v>5</v>
      </c>
      <c r="D190" t="s">
        <v>653</v>
      </c>
      <c r="E190" s="6">
        <f>Y115</f>
        <v>43887.935661726995</v>
      </c>
      <c r="F190" s="4">
        <f>E187</f>
        <v>77400.074418604781</v>
      </c>
      <c r="G190" s="4">
        <f>F187</f>
        <v>61633.396429977875</v>
      </c>
      <c r="H190" s="4">
        <f>G187</f>
        <v>46904.426273122335</v>
      </c>
      <c r="I190" s="4">
        <f>SUM(E190:H190)</f>
        <v>229825.83278343201</v>
      </c>
      <c r="K190" s="6">
        <v>229825.83278343201</v>
      </c>
      <c r="L190" s="6">
        <v>244192.32359418197</v>
      </c>
      <c r="M190" s="6">
        <v>244192.32359418197</v>
      </c>
      <c r="N190" s="6">
        <v>204427.58068752772</v>
      </c>
      <c r="O190" s="6">
        <v>224309.95214085485</v>
      </c>
      <c r="P190" s="6">
        <v>224309.95214085485</v>
      </c>
      <c r="Q190" s="6">
        <v>237251.23248126841</v>
      </c>
      <c r="R190" s="4">
        <v>235043.39852920538</v>
      </c>
      <c r="T190" s="165"/>
    </row>
    <row r="191" spans="1:20" x14ac:dyDescent="0.25">
      <c r="B191">
        <f>B188*$A$177</f>
        <v>1.1261624192640001</v>
      </c>
      <c r="C191">
        <f>C188+1</f>
        <v>6</v>
      </c>
      <c r="D191" t="s">
        <v>38</v>
      </c>
      <c r="E191" s="6">
        <f>Z139*B191</f>
        <v>29066557.826892231</v>
      </c>
      <c r="F191" s="10">
        <f>E188*B191</f>
        <v>42174753.232749425</v>
      </c>
      <c r="G191" s="10">
        <f>F188*B191</f>
        <v>103630082.40673806</v>
      </c>
      <c r="H191" s="10">
        <f>G188*B191</f>
        <v>97050291.450120643</v>
      </c>
      <c r="I191" s="10">
        <f t="shared" ref="I191:I192" si="34">SUM(E191:H191)</f>
        <v>271921684.91650033</v>
      </c>
      <c r="K191" s="10">
        <v>271921684.91650033</v>
      </c>
      <c r="L191" s="10">
        <v>290663197.56991947</v>
      </c>
      <c r="M191" s="10">
        <v>281448568.60584939</v>
      </c>
      <c r="N191" s="10">
        <v>251191367.90976143</v>
      </c>
      <c r="O191" s="10">
        <v>273693677.11551511</v>
      </c>
      <c r="P191" s="10">
        <v>258946259.40009564</v>
      </c>
      <c r="Q191" s="10">
        <v>274724917.85946214</v>
      </c>
      <c r="R191" s="10">
        <v>272037599.77885669</v>
      </c>
      <c r="T191" s="165">
        <v>0.83</v>
      </c>
    </row>
    <row r="192" spans="1:20" x14ac:dyDescent="0.25">
      <c r="B192">
        <f>B189*$A$177</f>
        <v>1.1261624192640001</v>
      </c>
      <c r="C192">
        <f>C189+1</f>
        <v>6</v>
      </c>
      <c r="D192" t="s">
        <v>520</v>
      </c>
      <c r="E192" s="6">
        <f>Z138*B192</f>
        <v>3590468.9283087631</v>
      </c>
      <c r="F192" s="10">
        <f>E189*B192</f>
        <v>5184067.5067755356</v>
      </c>
      <c r="G192" s="10">
        <f>F189*B192</f>
        <v>10167565.553580573</v>
      </c>
      <c r="H192" s="10">
        <f>G189*B192</f>
        <v>8478042.56815557</v>
      </c>
      <c r="I192" s="10">
        <f t="shared" si="34"/>
        <v>27420144.556820445</v>
      </c>
      <c r="K192" s="10">
        <v>27420144.556820445</v>
      </c>
      <c r="L192" s="10">
        <v>30008117.577689417</v>
      </c>
      <c r="M192" s="10">
        <v>30008117.577689417</v>
      </c>
      <c r="N192" s="10">
        <v>26369862.556784477</v>
      </c>
      <c r="O192" s="10">
        <v>30008117.577689417</v>
      </c>
      <c r="P192" s="10">
        <v>26369862.556784477</v>
      </c>
      <c r="Q192" s="10">
        <v>28935775.848447118</v>
      </c>
      <c r="R192" s="10">
        <v>28883831.543556988</v>
      </c>
      <c r="T192" s="165">
        <v>0.83</v>
      </c>
    </row>
    <row r="193" spans="2:24" x14ac:dyDescent="0.25">
      <c r="C193">
        <v>6</v>
      </c>
      <c r="D193" t="s">
        <v>653</v>
      </c>
      <c r="E193" s="6">
        <f>Y140</f>
        <v>33560.354283862187</v>
      </c>
      <c r="F193" s="4">
        <f>E190</f>
        <v>43887.935661726995</v>
      </c>
      <c r="G193" s="4">
        <f>F190</f>
        <v>77400.074418604781</v>
      </c>
      <c r="H193" s="4">
        <f>G190</f>
        <v>61633.396429977875</v>
      </c>
      <c r="I193" s="4">
        <f>SUM(E193:H193)</f>
        <v>216481.76079417183</v>
      </c>
      <c r="K193" s="6">
        <v>216481.76079417183</v>
      </c>
      <c r="L193" s="6">
        <v>226325.46746079685</v>
      </c>
      <c r="M193" s="6">
        <v>226325.46746079685</v>
      </c>
      <c r="N193" s="6">
        <v>198685.36636198848</v>
      </c>
      <c r="O193" s="6">
        <v>212505.41691139268</v>
      </c>
      <c r="P193" s="6">
        <v>212505.41691139268</v>
      </c>
      <c r="Q193" s="6">
        <v>222330.62846171978</v>
      </c>
      <c r="R193" s="4">
        <v>217845.94315955069</v>
      </c>
      <c r="T193" s="165"/>
    </row>
    <row r="194" spans="2:24" x14ac:dyDescent="0.25">
      <c r="B194">
        <f>B191*$A$177</f>
        <v>1.14868566764928</v>
      </c>
      <c r="C194">
        <f>C191+1</f>
        <v>7</v>
      </c>
      <c r="D194" t="s">
        <v>38</v>
      </c>
      <c r="E194" s="6">
        <f>Z164*B194</f>
        <v>26497783.043973781</v>
      </c>
      <c r="F194" s="10">
        <f>E191*B194</f>
        <v>33388338.383650109</v>
      </c>
      <c r="G194" s="10">
        <f>F191*B194</f>
        <v>48445534.575104408</v>
      </c>
      <c r="H194" s="10">
        <f>G191*B194</f>
        <v>119038390.39793381</v>
      </c>
      <c r="I194" s="10">
        <f t="shared" ref="I194:I195" si="35">SUM(E194:H194)</f>
        <v>227370046.40066212</v>
      </c>
      <c r="K194" s="10">
        <v>227370046.40066212</v>
      </c>
      <c r="L194" s="10">
        <v>238392100.97609848</v>
      </c>
      <c r="M194" s="10">
        <v>234009095.72888231</v>
      </c>
      <c r="N194" s="10">
        <v>216373919.03958476</v>
      </c>
      <c r="O194" s="10">
        <v>229453265.36088729</v>
      </c>
      <c r="P194" s="10">
        <v>220929749.40757975</v>
      </c>
      <c r="Q194" s="10">
        <v>232506893.03971374</v>
      </c>
      <c r="R194" s="10">
        <v>225780996.84642711</v>
      </c>
      <c r="T194" s="165">
        <v>0.82</v>
      </c>
    </row>
    <row r="195" spans="2:24" x14ac:dyDescent="0.25">
      <c r="B195">
        <f>B192*$A$177</f>
        <v>1.14868566764928</v>
      </c>
      <c r="C195">
        <f>C192+1</f>
        <v>7</v>
      </c>
      <c r="D195" t="s">
        <v>520</v>
      </c>
      <c r="E195" s="6">
        <f>Z163*B195</f>
        <v>3522641.0390777569</v>
      </c>
      <c r="F195" s="10">
        <f>E192*B195</f>
        <v>4124320.1980883465</v>
      </c>
      <c r="G195" s="10">
        <f>F192*B195</f>
        <v>5954864.0451593949</v>
      </c>
      <c r="H195" s="10">
        <f>G192*B195</f>
        <v>11679336.826282522</v>
      </c>
      <c r="I195" s="10">
        <f t="shared" si="35"/>
        <v>25281162.108608022</v>
      </c>
      <c r="K195" s="10">
        <v>25281162.108608022</v>
      </c>
      <c r="L195" s="10">
        <v>26844109.338024139</v>
      </c>
      <c r="M195" s="10">
        <v>26844109.338024139</v>
      </c>
      <c r="N195" s="10">
        <v>24741319.187823098</v>
      </c>
      <c r="O195" s="10">
        <v>26844109.338024139</v>
      </c>
      <c r="P195" s="10">
        <v>24741319.187823098</v>
      </c>
      <c r="Q195" s="10">
        <v>26624069.172187507</v>
      </c>
      <c r="R195" s="10">
        <v>25838366.237033918</v>
      </c>
      <c r="T195" s="165">
        <v>0.82</v>
      </c>
    </row>
    <row r="196" spans="2:24" x14ac:dyDescent="0.25">
      <c r="C196">
        <v>7</v>
      </c>
      <c r="D196" t="s">
        <v>653</v>
      </c>
      <c r="E196" s="6">
        <f>Y165</f>
        <v>27639.091679049838</v>
      </c>
      <c r="F196" s="4">
        <f>E193</f>
        <v>33560.354283862187</v>
      </c>
      <c r="G196" s="4">
        <f>F193</f>
        <v>43887.935661726995</v>
      </c>
      <c r="H196" s="4">
        <f>G193</f>
        <v>77400.074418604781</v>
      </c>
      <c r="I196" s="4">
        <f>SUM(E196:H196)</f>
        <v>182487.45604324382</v>
      </c>
      <c r="K196" s="6">
        <v>182487.45604324382</v>
      </c>
      <c r="L196" s="6">
        <v>187808.3785657438</v>
      </c>
      <c r="M196" s="6">
        <v>187808.3785657438</v>
      </c>
      <c r="N196" s="6">
        <v>173490.83378916711</v>
      </c>
      <c r="O196" s="6">
        <v>180649.60617745545</v>
      </c>
      <c r="P196" s="6">
        <v>180649.60617745545</v>
      </c>
      <c r="Q196" s="6">
        <v>187059.27030909964</v>
      </c>
      <c r="R196" s="4">
        <v>180771.93795703631</v>
      </c>
    </row>
    <row r="197" spans="2:24" x14ac:dyDescent="0.25">
      <c r="C197" t="s">
        <v>527</v>
      </c>
      <c r="D197" t="s">
        <v>38</v>
      </c>
      <c r="E197" s="6"/>
      <c r="I197" s="10">
        <f>I176+I179+I182+I185+I188+I191+I194</f>
        <v>1495265800.0600009</v>
      </c>
      <c r="J197" s="10">
        <f>+I197-K197</f>
        <v>0</v>
      </c>
      <c r="K197" s="333">
        <v>1495265800.0600009</v>
      </c>
      <c r="L197" s="10">
        <v>1630654875.8885903</v>
      </c>
      <c r="M197" s="10">
        <v>1541973148.546186</v>
      </c>
      <c r="N197" s="10">
        <v>1347916605.4814882</v>
      </c>
      <c r="O197" s="10">
        <v>1492305177.920254</v>
      </c>
      <c r="P197" s="10">
        <v>1397584576.1074202</v>
      </c>
      <c r="Q197" s="10">
        <v>1488015738.9668469</v>
      </c>
      <c r="R197" s="10">
        <v>1495113203.4182963</v>
      </c>
    </row>
    <row r="198" spans="2:24" x14ac:dyDescent="0.25">
      <c r="C198" t="s">
        <v>527</v>
      </c>
      <c r="D198" t="s">
        <v>520</v>
      </c>
      <c r="E198" s="6"/>
      <c r="I198" s="10">
        <f>I177+I180+I183+I186+I189+I192+I195</f>
        <v>127468687.56214191</v>
      </c>
      <c r="K198" s="10">
        <v>127468687.56214191</v>
      </c>
      <c r="L198" s="10">
        <v>147426711.06068075</v>
      </c>
      <c r="M198" s="10">
        <v>147426711.06068075</v>
      </c>
      <c r="N198" s="10">
        <v>124058707.80894147</v>
      </c>
      <c r="O198" s="10">
        <v>147426711.06068075</v>
      </c>
      <c r="P198" s="10">
        <v>124058707.80894147</v>
      </c>
      <c r="Q198" s="10">
        <v>138748278.01175621</v>
      </c>
      <c r="R198" s="10">
        <v>141903212.56483263</v>
      </c>
    </row>
    <row r="199" spans="2:24" x14ac:dyDescent="0.25">
      <c r="C199" t="s">
        <v>652</v>
      </c>
      <c r="E199" s="6"/>
      <c r="F199" s="10">
        <f>K197-I197</f>
        <v>0</v>
      </c>
      <c r="I199" s="4">
        <f>J4</f>
        <v>100002.8153133086</v>
      </c>
      <c r="K199" s="6">
        <v>100002.8153133086</v>
      </c>
      <c r="L199" s="4">
        <v>89178.981185279903</v>
      </c>
      <c r="M199" s="1">
        <v>96256.103499760211</v>
      </c>
      <c r="N199" s="4">
        <v>113939.85925742582</v>
      </c>
      <c r="O199" s="1">
        <v>100256.21611229258</v>
      </c>
      <c r="P199" s="1">
        <v>108835.64316360626</v>
      </c>
      <c r="Q199" s="1">
        <v>100600.11719662792</v>
      </c>
      <c r="R199" s="4">
        <v>96256.103499760211</v>
      </c>
    </row>
    <row r="200" spans="2:24" x14ac:dyDescent="0.25">
      <c r="D200" t="s">
        <v>655</v>
      </c>
      <c r="I200" s="4">
        <f>I178+I181+I184+I187+I190+I193+I196</f>
        <v>1106028.5367187753</v>
      </c>
      <c r="K200" s="4">
        <v>1106028.5367187753</v>
      </c>
      <c r="L200" s="4">
        <v>1181585.6365382751</v>
      </c>
      <c r="M200" s="4">
        <v>1181585.6365382751</v>
      </c>
      <c r="N200" s="4">
        <v>977242.21791165799</v>
      </c>
      <c r="O200" s="4">
        <v>1079413.9272249667</v>
      </c>
      <c r="P200" s="4">
        <v>1079413.9272249667</v>
      </c>
      <c r="Q200" s="4">
        <v>1142839.793689121</v>
      </c>
      <c r="R200" s="4">
        <v>1137316.2742281533</v>
      </c>
    </row>
    <row r="201" spans="2:24" x14ac:dyDescent="0.25">
      <c r="K201" s="11" t="s">
        <v>529</v>
      </c>
      <c r="M201" s="162"/>
      <c r="N201" s="162"/>
      <c r="O201" s="162"/>
      <c r="S201" s="2"/>
      <c r="V201" t="s">
        <v>650</v>
      </c>
    </row>
    <row r="202" spans="2:24" ht="50.25" customHeight="1" x14ac:dyDescent="0.25">
      <c r="J202" s="330" t="s">
        <v>521</v>
      </c>
      <c r="K202" s="164" t="s">
        <v>528</v>
      </c>
      <c r="L202" s="164" t="s">
        <v>630</v>
      </c>
      <c r="M202" s="164" t="s">
        <v>631</v>
      </c>
      <c r="N202" s="164" t="s">
        <v>632</v>
      </c>
      <c r="O202" s="164" t="s">
        <v>633</v>
      </c>
      <c r="P202" s="164" t="s">
        <v>640</v>
      </c>
      <c r="Q202" s="164" t="s">
        <v>641</v>
      </c>
      <c r="R202" s="164" t="s">
        <v>642</v>
      </c>
      <c r="S202" s="164" t="s">
        <v>643</v>
      </c>
      <c r="V202" s="164" t="s">
        <v>648</v>
      </c>
      <c r="W202" s="164" t="s">
        <v>649</v>
      </c>
      <c r="X202" s="164" t="s">
        <v>651</v>
      </c>
    </row>
    <row r="203" spans="2:24" x14ac:dyDescent="0.25">
      <c r="J203" s="161">
        <v>1</v>
      </c>
      <c r="K203" s="10">
        <f>K176/1000000</f>
        <v>62.335010807801702</v>
      </c>
      <c r="L203" s="10">
        <f t="shared" ref="L203:Q203" si="36">L176/1000000</f>
        <v>70.006714110527597</v>
      </c>
      <c r="M203" s="10">
        <f t="shared" si="36"/>
        <v>62.295245132125771</v>
      </c>
      <c r="N203" s="10">
        <f t="shared" si="36"/>
        <v>53.18003037515615</v>
      </c>
      <c r="O203" s="10">
        <f t="shared" si="36"/>
        <v>59.960976840198008</v>
      </c>
      <c r="P203" s="10">
        <f t="shared" si="36"/>
        <v>55.514298667083914</v>
      </c>
      <c r="Q203" s="10">
        <f t="shared" si="36"/>
        <v>59.006486096580474</v>
      </c>
      <c r="R203" s="10">
        <f t="shared" ref="R203" si="37">R176/1000000</f>
        <v>60.910134397019135</v>
      </c>
      <c r="S203" s="10">
        <v>165</v>
      </c>
      <c r="U203" t="s">
        <v>528</v>
      </c>
      <c r="V203" s="329">
        <f>K210</f>
        <v>1495.2658000600011</v>
      </c>
      <c r="W203" s="10">
        <f>V$203-V203</f>
        <v>0</v>
      </c>
      <c r="X203" s="4"/>
    </row>
    <row r="204" spans="2:24" x14ac:dyDescent="0.25">
      <c r="J204" s="161">
        <v>2</v>
      </c>
      <c r="K204" s="10">
        <f>K179/1000000</f>
        <v>126.55507617827445</v>
      </c>
      <c r="L204" s="10">
        <f t="shared" ref="L204:Q204" si="38">L179/1000000</f>
        <v>142.10459879751886</v>
      </c>
      <c r="M204" s="10">
        <f t="shared" si="38"/>
        <v>129.16552499865844</v>
      </c>
      <c r="N204" s="10">
        <f t="shared" si="38"/>
        <v>109.7450047815465</v>
      </c>
      <c r="O204" s="10">
        <f t="shared" si="38"/>
        <v>124.19719310030369</v>
      </c>
      <c r="P204" s="10">
        <f t="shared" si="38"/>
        <v>114.71333667990123</v>
      </c>
      <c r="Q204" s="10">
        <f t="shared" si="38"/>
        <v>122.14900277072843</v>
      </c>
      <c r="R204" s="10">
        <f t="shared" ref="R204" si="39">R179/1000000</f>
        <v>125.91827141194553</v>
      </c>
      <c r="S204" s="10">
        <v>165</v>
      </c>
      <c r="U204" t="s">
        <v>630</v>
      </c>
      <c r="V204" s="10">
        <f>L210</f>
        <v>1630.6548758885899</v>
      </c>
      <c r="W204" s="10">
        <f t="shared" ref="W204:W210" si="40">V$203-V204</f>
        <v>-135.38907582858883</v>
      </c>
      <c r="X204" s="1">
        <f>L199</f>
        <v>89178.981185279903</v>
      </c>
    </row>
    <row r="205" spans="2:24" x14ac:dyDescent="0.25">
      <c r="J205" s="161">
        <v>3</v>
      </c>
      <c r="K205" s="10">
        <f>K182/1000000</f>
        <v>206.41105537811274</v>
      </c>
      <c r="L205" s="10">
        <f t="shared" ref="L205:Q205" si="41">L182/1000000</f>
        <v>229.72158446845455</v>
      </c>
      <c r="M205" s="10">
        <f t="shared" si="41"/>
        <v>211.97902967794889</v>
      </c>
      <c r="N205" s="10">
        <f t="shared" si="41"/>
        <v>180.2615346117515</v>
      </c>
      <c r="O205" s="10">
        <f t="shared" si="41"/>
        <v>203.87455717136274</v>
      </c>
      <c r="P205" s="10">
        <f t="shared" si="41"/>
        <v>188.36600711833759</v>
      </c>
      <c r="Q205" s="10">
        <f t="shared" si="41"/>
        <v>200.50074125890538</v>
      </c>
      <c r="R205" s="10">
        <f t="shared" ref="R205" si="42">R182/1000000</f>
        <v>206.22011764822281</v>
      </c>
      <c r="S205" s="10">
        <v>165</v>
      </c>
      <c r="U205" t="s">
        <v>631</v>
      </c>
      <c r="V205" s="10">
        <f>M210</f>
        <v>1541.9731485461862</v>
      </c>
      <c r="W205" s="10">
        <f t="shared" si="40"/>
        <v>-46.707348486185083</v>
      </c>
      <c r="X205" s="1">
        <f>M199</f>
        <v>96256.103499760211</v>
      </c>
    </row>
    <row r="206" spans="2:24" x14ac:dyDescent="0.25">
      <c r="J206" s="161">
        <v>4</v>
      </c>
      <c r="K206" s="10">
        <f>K185/1000000</f>
        <v>306.77180953874137</v>
      </c>
      <c r="L206" s="10">
        <f t="shared" ref="L206:Q206" si="43">L185/1000000</f>
        <v>339.64393621049271</v>
      </c>
      <c r="M206" s="10">
        <f t="shared" si="43"/>
        <v>317.37002209032545</v>
      </c>
      <c r="N206" s="10">
        <f t="shared" si="43"/>
        <v>270.88362876647994</v>
      </c>
      <c r="O206" s="10">
        <f t="shared" si="43"/>
        <v>305.50421189577344</v>
      </c>
      <c r="P206" s="10">
        <f t="shared" si="43"/>
        <v>282.74943896103196</v>
      </c>
      <c r="Q206" s="10">
        <f t="shared" si="43"/>
        <v>303.94059360009624</v>
      </c>
      <c r="R206" s="10">
        <f t="shared" ref="R206" si="44">R185/1000000</f>
        <v>308.22007920438062</v>
      </c>
      <c r="S206" s="10">
        <v>165</v>
      </c>
      <c r="U206" t="s">
        <v>632</v>
      </c>
      <c r="V206" s="10">
        <f>N210</f>
        <v>1347.9166054814884</v>
      </c>
      <c r="W206" s="10">
        <f t="shared" si="40"/>
        <v>147.34919457851265</v>
      </c>
      <c r="X206" s="1">
        <f>N199</f>
        <v>113939.85925742582</v>
      </c>
    </row>
    <row r="207" spans="2:24" x14ac:dyDescent="0.25">
      <c r="J207" s="161">
        <v>5</v>
      </c>
      <c r="K207" s="10">
        <f>K188/1000000</f>
        <v>293.90111683990807</v>
      </c>
      <c r="L207" s="10">
        <f t="shared" ref="L207:Q207" si="45">L188/1000000</f>
        <v>320.12274375557843</v>
      </c>
      <c r="M207" s="10">
        <f t="shared" si="45"/>
        <v>305.7056623123957</v>
      </c>
      <c r="N207" s="10">
        <f t="shared" si="45"/>
        <v>266.28111999720829</v>
      </c>
      <c r="O207" s="10">
        <f t="shared" si="45"/>
        <v>295.62129643621381</v>
      </c>
      <c r="P207" s="10">
        <f t="shared" si="45"/>
        <v>276.36548587339013</v>
      </c>
      <c r="Q207" s="10">
        <f t="shared" si="45"/>
        <v>295.1871043413604</v>
      </c>
      <c r="R207" s="10">
        <f t="shared" ref="R207" si="46">R188/1000000</f>
        <v>296.02600413144432</v>
      </c>
      <c r="S207" s="10">
        <v>165</v>
      </c>
      <c r="U207" t="s">
        <v>633</v>
      </c>
      <c r="V207" s="10">
        <f>O210</f>
        <v>1492.3051779202542</v>
      </c>
      <c r="W207" s="10">
        <f t="shared" si="40"/>
        <v>2.9606221397468744</v>
      </c>
      <c r="X207" s="1">
        <f>O199</f>
        <v>100256.21611229258</v>
      </c>
    </row>
    <row r="208" spans="2:24" x14ac:dyDescent="0.25">
      <c r="J208" s="161">
        <v>6</v>
      </c>
      <c r="K208" s="10">
        <f>K191/1000000</f>
        <v>271.92168491650034</v>
      </c>
      <c r="L208" s="10">
        <f t="shared" ref="L208:Q208" si="47">L191/1000000</f>
        <v>290.66319756991948</v>
      </c>
      <c r="M208" s="10">
        <f t="shared" si="47"/>
        <v>281.4485686058494</v>
      </c>
      <c r="N208" s="10">
        <f t="shared" si="47"/>
        <v>251.19136790976142</v>
      </c>
      <c r="O208" s="10">
        <f t="shared" si="47"/>
        <v>273.69367711551513</v>
      </c>
      <c r="P208" s="10">
        <f t="shared" si="47"/>
        <v>258.94625940009564</v>
      </c>
      <c r="Q208" s="10">
        <f t="shared" si="47"/>
        <v>274.72491785946215</v>
      </c>
      <c r="R208" s="10">
        <f t="shared" ref="R208" si="48">R191/1000000</f>
        <v>272.0375997788567</v>
      </c>
      <c r="S208" s="10">
        <v>165</v>
      </c>
      <c r="U208" t="s">
        <v>640</v>
      </c>
      <c r="V208" s="10">
        <f>P210</f>
        <v>1397.5845761074202</v>
      </c>
      <c r="W208" s="10">
        <f t="shared" si="40"/>
        <v>97.681223952580922</v>
      </c>
      <c r="X208" s="1">
        <f>P199</f>
        <v>108835.64316360626</v>
      </c>
    </row>
    <row r="209" spans="10:24" x14ac:dyDescent="0.25">
      <c r="J209" s="161">
        <v>7</v>
      </c>
      <c r="K209" s="10">
        <f>K194/1000000</f>
        <v>227.37004640066212</v>
      </c>
      <c r="L209" s="10">
        <f t="shared" ref="L209:Q209" si="49">L194/1000000</f>
        <v>238.39210097609848</v>
      </c>
      <c r="M209" s="10">
        <f t="shared" si="49"/>
        <v>234.0090957288823</v>
      </c>
      <c r="N209" s="10">
        <f t="shared" si="49"/>
        <v>216.37391903958476</v>
      </c>
      <c r="O209" s="10">
        <f t="shared" si="49"/>
        <v>229.45326536088729</v>
      </c>
      <c r="P209" s="10">
        <f t="shared" si="49"/>
        <v>220.92974940757975</v>
      </c>
      <c r="Q209" s="10">
        <f t="shared" si="49"/>
        <v>232.50689303971373</v>
      </c>
      <c r="R209" s="10">
        <f t="shared" ref="R209" si="50">R194/1000000</f>
        <v>225.78099684642712</v>
      </c>
      <c r="S209" s="10">
        <v>165</v>
      </c>
      <c r="U209" t="s">
        <v>641</v>
      </c>
      <c r="V209" s="10">
        <f>Q210</f>
        <v>1488.0157389668468</v>
      </c>
      <c r="W209" s="10">
        <f t="shared" si="40"/>
        <v>7.2500610931542724</v>
      </c>
      <c r="X209" s="1">
        <f>Q199</f>
        <v>100600.11719662792</v>
      </c>
    </row>
    <row r="210" spans="10:24" x14ac:dyDescent="0.25">
      <c r="J210" s="161" t="s">
        <v>263</v>
      </c>
      <c r="K210" s="10">
        <f>SUM(K203:K209)</f>
        <v>1495.2658000600011</v>
      </c>
      <c r="L210" s="10">
        <f t="shared" ref="L210:Q210" si="51">SUM(L203:L209)</f>
        <v>1630.6548758885899</v>
      </c>
      <c r="M210" s="10">
        <f t="shared" si="51"/>
        <v>1541.9731485461862</v>
      </c>
      <c r="N210" s="10">
        <f t="shared" si="51"/>
        <v>1347.9166054814884</v>
      </c>
      <c r="O210" s="10">
        <f t="shared" si="51"/>
        <v>1492.3051779202542</v>
      </c>
      <c r="P210" s="10">
        <f t="shared" si="51"/>
        <v>1397.5845761074202</v>
      </c>
      <c r="Q210" s="10">
        <f t="shared" si="51"/>
        <v>1488.0157389668468</v>
      </c>
      <c r="R210" s="10">
        <f t="shared" ref="R210" si="52">SUM(R203:R209)</f>
        <v>1495.1132034182963</v>
      </c>
      <c r="U210" t="s">
        <v>642</v>
      </c>
      <c r="V210" s="10">
        <f>S210</f>
        <v>0</v>
      </c>
      <c r="W210" s="10">
        <f t="shared" si="40"/>
        <v>1495.2658000600011</v>
      </c>
      <c r="X210" s="1">
        <f>+R199</f>
        <v>96256.103499760211</v>
      </c>
    </row>
    <row r="211" spans="10:24" x14ac:dyDescent="0.25">
      <c r="J211" s="161" t="s">
        <v>520</v>
      </c>
      <c r="K211" s="10">
        <v>246868004.1112732</v>
      </c>
      <c r="L211" s="10">
        <v>283827926.0922752</v>
      </c>
      <c r="M211" s="10">
        <v>246868004.1112732</v>
      </c>
      <c r="N211" s="10">
        <v>222160868.60919771</v>
      </c>
      <c r="O211" s="10">
        <v>207855274.17454773</v>
      </c>
      <c r="P211" s="10">
        <v>207855274.17454773</v>
      </c>
      <c r="Q211" s="10">
        <v>207855274.17454773</v>
      </c>
      <c r="R211" s="10">
        <v>207855274.17454773</v>
      </c>
    </row>
    <row r="213" spans="10:24" x14ac:dyDescent="0.25">
      <c r="K213" s="4"/>
      <c r="L213" s="4"/>
      <c r="M213" s="4"/>
      <c r="N213" s="4"/>
      <c r="O213" s="4"/>
      <c r="P213" s="4"/>
      <c r="Q213" s="4"/>
      <c r="R213" s="4"/>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B4" sqref="B4"/>
    </sheetView>
  </sheetViews>
  <sheetFormatPr defaultRowHeight="15" x14ac:dyDescent="0.25"/>
  <cols>
    <col min="1" max="1" width="39" customWidth="1"/>
    <col min="2" max="2" width="15.28515625" bestFit="1" customWidth="1"/>
    <col min="3" max="3" width="9.140625" style="5"/>
  </cols>
  <sheetData>
    <row r="1" spans="1:3" s="14" customFormat="1" ht="165" x14ac:dyDescent="0.25">
      <c r="A1" s="14" t="s">
        <v>86</v>
      </c>
      <c r="C1" s="15"/>
    </row>
    <row r="3" spans="1:3" x14ac:dyDescent="0.25">
      <c r="A3" s="11" t="s">
        <v>52</v>
      </c>
    </row>
    <row r="4" spans="1:3" x14ac:dyDescent="0.25">
      <c r="A4" t="s">
        <v>15</v>
      </c>
      <c r="B4" s="4">
        <f>+Parameters!B4*+Parameters!B35</f>
        <v>65000</v>
      </c>
    </row>
    <row r="5" spans="1:3" x14ac:dyDescent="0.25">
      <c r="A5" s="5" t="s">
        <v>16</v>
      </c>
      <c r="B5" s="4">
        <f>B4*((+Parameters!B31)+(+Parameters!B34))</f>
        <v>195000</v>
      </c>
    </row>
    <row r="6" spans="1:3" x14ac:dyDescent="0.25">
      <c r="A6" s="5" t="s">
        <v>64</v>
      </c>
      <c r="B6" s="4">
        <f>26*+Parameters!B8</f>
        <v>390</v>
      </c>
    </row>
    <row r="7" spans="1:3" x14ac:dyDescent="0.25">
      <c r="A7" s="5" t="s">
        <v>67</v>
      </c>
      <c r="B7" s="4">
        <f>B5/B6</f>
        <v>500</v>
      </c>
    </row>
    <row r="8" spans="1:3" x14ac:dyDescent="0.25">
      <c r="A8" s="5" t="s">
        <v>68</v>
      </c>
      <c r="B8" s="4">
        <f>B7*1.2</f>
        <v>600</v>
      </c>
    </row>
    <row r="9" spans="1:3" x14ac:dyDescent="0.25">
      <c r="A9" s="5" t="s">
        <v>69</v>
      </c>
      <c r="B9" s="4">
        <f>B5+B8*+Parameters!B11</f>
        <v>219000</v>
      </c>
      <c r="C9" s="5" t="s">
        <v>78</v>
      </c>
    </row>
    <row r="10" spans="1:3" x14ac:dyDescent="0.25">
      <c r="A10" s="5" t="s">
        <v>656</v>
      </c>
      <c r="B10" s="3">
        <f>B9*+Parameters!B23</f>
        <v>6570000</v>
      </c>
      <c r="C10" s="5" t="s">
        <v>658</v>
      </c>
    </row>
    <row r="11" spans="1:3" x14ac:dyDescent="0.25">
      <c r="A11" s="5" t="s">
        <v>70</v>
      </c>
      <c r="B11" s="3">
        <f>(+Parameters!B11*B8/8)*+Parameters!B19*+Parameters!B20*(1++Parameters!B3)</f>
        <v>197819.99999999997</v>
      </c>
    </row>
    <row r="12" spans="1:3" x14ac:dyDescent="0.25">
      <c r="A12" s="9" t="s">
        <v>30</v>
      </c>
      <c r="B12" s="4">
        <f>+Parameters!B4*+Parameters!B36</f>
        <v>25000</v>
      </c>
    </row>
    <row r="13" spans="1:3" x14ac:dyDescent="0.25">
      <c r="A13" s="5" t="s">
        <v>17</v>
      </c>
      <c r="B13" s="4">
        <f>B12*((+Parameters!B32)+(+Parameters!B34))</f>
        <v>137500</v>
      </c>
    </row>
    <row r="14" spans="1:3" x14ac:dyDescent="0.25">
      <c r="A14" s="5" t="s">
        <v>71</v>
      </c>
      <c r="B14" s="4">
        <f>26*+Parameters!B8</f>
        <v>390</v>
      </c>
    </row>
    <row r="15" spans="1:3" x14ac:dyDescent="0.25">
      <c r="A15" s="5" t="s">
        <v>72</v>
      </c>
      <c r="B15" s="4">
        <f>B13/B14</f>
        <v>352.56410256410254</v>
      </c>
    </row>
    <row r="16" spans="1:3" x14ac:dyDescent="0.25">
      <c r="A16" s="5" t="s">
        <v>73</v>
      </c>
      <c r="B16" s="4">
        <f>1.1*B15</f>
        <v>387.82051282051282</v>
      </c>
    </row>
    <row r="17" spans="1:3" x14ac:dyDescent="0.25">
      <c r="A17" s="5" t="s">
        <v>74</v>
      </c>
      <c r="B17" s="4">
        <f>B13+B16*+Parameters!B11</f>
        <v>153012.8205128205</v>
      </c>
      <c r="C17" s="5" t="s">
        <v>77</v>
      </c>
    </row>
    <row r="18" spans="1:3" x14ac:dyDescent="0.25">
      <c r="A18" s="5" t="s">
        <v>75</v>
      </c>
      <c r="B18" s="3">
        <f>B17*+Parameters!B17*+Parameters!B18</f>
        <v>4223153.846153846</v>
      </c>
    </row>
    <row r="19" spans="1:3" x14ac:dyDescent="0.25">
      <c r="A19" s="5"/>
      <c r="B19" s="3"/>
    </row>
    <row r="20" spans="1:3" x14ac:dyDescent="0.25">
      <c r="A20" s="9" t="s">
        <v>76</v>
      </c>
      <c r="B20" s="6">
        <f>SUM(B9+B17)</f>
        <v>372012.8205128205</v>
      </c>
    </row>
    <row r="21" spans="1:3" x14ac:dyDescent="0.25">
      <c r="B21" s="6"/>
    </row>
    <row r="22" spans="1:3" x14ac:dyDescent="0.25">
      <c r="A22" t="s">
        <v>42</v>
      </c>
      <c r="B22" s="6">
        <f>B20</f>
        <v>372012.8205128205</v>
      </c>
    </row>
    <row r="23" spans="1:3" x14ac:dyDescent="0.25">
      <c r="A23" t="s">
        <v>31</v>
      </c>
      <c r="B23" s="3">
        <f>B22*+Parameters!B17*+Parameters!B18</f>
        <v>10267553.846153846</v>
      </c>
    </row>
    <row r="24" spans="1:3" x14ac:dyDescent="0.25">
      <c r="A24" t="s">
        <v>18</v>
      </c>
      <c r="B24">
        <f>+Parameters!B15*+Parameters!B8</f>
        <v>660</v>
      </c>
    </row>
    <row r="25" spans="1:3" x14ac:dyDescent="0.25">
      <c r="A25" t="s">
        <v>20</v>
      </c>
      <c r="B25" s="6">
        <f>B20/B24</f>
        <v>563.65578865578868</v>
      </c>
    </row>
    <row r="26" spans="1:3" x14ac:dyDescent="0.25">
      <c r="A26" t="s">
        <v>53</v>
      </c>
      <c r="B26" s="6">
        <f>B25*1.1</f>
        <v>620.02136752136755</v>
      </c>
    </row>
    <row r="27" spans="1:3" x14ac:dyDescent="0.25">
      <c r="B27" s="6"/>
    </row>
    <row r="28" spans="1:3" x14ac:dyDescent="0.25">
      <c r="A28" t="s">
        <v>48</v>
      </c>
      <c r="B28" s="4">
        <f>B20/+Parameters!B13</f>
        <v>74402.564102564094</v>
      </c>
    </row>
    <row r="29" spans="1:3" x14ac:dyDescent="0.25">
      <c r="A29" t="s">
        <v>49</v>
      </c>
      <c r="B29" s="4">
        <f>B16*Parameters!B47</f>
        <v>11634.615384615385</v>
      </c>
    </row>
    <row r="30" spans="1:3" x14ac:dyDescent="0.25">
      <c r="A30" t="s">
        <v>50</v>
      </c>
      <c r="B30" s="3">
        <f>(B28+B29)*+Parameters!B19*+Parameters!B20+B11</f>
        <v>3811381.538461538</v>
      </c>
    </row>
    <row r="31" spans="1:3" x14ac:dyDescent="0.25">
      <c r="A31" t="s">
        <v>19</v>
      </c>
      <c r="B31" s="8">
        <f>B28/(+Parameters!B16*26)</f>
        <v>59.617439184746871</v>
      </c>
    </row>
    <row r="32" spans="1:3" x14ac:dyDescent="0.25">
      <c r="B32" s="8"/>
    </row>
    <row r="33" spans="1:5" x14ac:dyDescent="0.25">
      <c r="A33" t="s">
        <v>32</v>
      </c>
      <c r="B33" s="8">
        <f>B28/+Parameters!B14</f>
        <v>12400.42735042735</v>
      </c>
    </row>
    <row r="34" spans="1:5" x14ac:dyDescent="0.25">
      <c r="A34" t="s">
        <v>33</v>
      </c>
      <c r="B34" s="3">
        <f>B33*+Parameters!B21*+Parameters!B22</f>
        <v>694423.93162393151</v>
      </c>
    </row>
    <row r="35" spans="1:5" x14ac:dyDescent="0.25">
      <c r="B35" s="3"/>
    </row>
    <row r="36" spans="1:5" x14ac:dyDescent="0.25">
      <c r="A36" t="s">
        <v>51</v>
      </c>
      <c r="B36" s="3">
        <v>0</v>
      </c>
      <c r="C36" s="5" t="s">
        <v>80</v>
      </c>
    </row>
    <row r="37" spans="1:5" x14ac:dyDescent="0.25">
      <c r="B37" s="3"/>
    </row>
    <row r="39" spans="1:5" x14ac:dyDescent="0.25">
      <c r="A39" t="s">
        <v>21</v>
      </c>
    </row>
    <row r="40" spans="1:5" x14ac:dyDescent="0.25">
      <c r="A40" s="5" t="s">
        <v>22</v>
      </c>
      <c r="B40" s="6">
        <f>1.05*(B31+B25)</f>
        <v>654.43688923256241</v>
      </c>
    </row>
    <row r="41" spans="1:5" x14ac:dyDescent="0.25">
      <c r="A41" t="s">
        <v>83</v>
      </c>
      <c r="B41" s="3">
        <f>B40*((+Parameters!B24))</f>
        <v>490827.66692442179</v>
      </c>
    </row>
    <row r="42" spans="1:5" x14ac:dyDescent="0.25">
      <c r="A42" t="s">
        <v>29</v>
      </c>
      <c r="B42" s="3">
        <v>0</v>
      </c>
    </row>
    <row r="44" spans="1:5" x14ac:dyDescent="0.25">
      <c r="A44" t="s">
        <v>34</v>
      </c>
      <c r="B44" s="3">
        <f>(B4+B12)*+Parameters!B42</f>
        <v>7650000</v>
      </c>
    </row>
    <row r="45" spans="1:5" x14ac:dyDescent="0.25">
      <c r="A45" t="s">
        <v>35</v>
      </c>
      <c r="B45" s="3">
        <f>B12*+Parameters!B41</f>
        <v>1250000</v>
      </c>
      <c r="C45" s="5" t="s">
        <v>82</v>
      </c>
    </row>
    <row r="47" spans="1:5" x14ac:dyDescent="0.25">
      <c r="A47" s="5" t="s">
        <v>36</v>
      </c>
      <c r="B47" s="10">
        <f>B23+B30+B34+B36+B41+B42+B44+B45</f>
        <v>24164186.983163737</v>
      </c>
    </row>
    <row r="48" spans="1:5" x14ac:dyDescent="0.25">
      <c r="A48" s="5" t="s">
        <v>37</v>
      </c>
      <c r="B48" s="10">
        <f>(B47-B10)*+Parameters!B3</f>
        <v>10028686.58040333</v>
      </c>
      <c r="E48" t="s">
        <v>132</v>
      </c>
    </row>
    <row r="49" spans="1:2" x14ac:dyDescent="0.25">
      <c r="A49" t="s">
        <v>38</v>
      </c>
      <c r="B49" s="10">
        <f>SUM(B47:B48)</f>
        <v>34192873.563567065</v>
      </c>
    </row>
    <row r="51" spans="1:2" x14ac:dyDescent="0.25">
      <c r="A51" t="s">
        <v>39</v>
      </c>
      <c r="B51" s="10">
        <f>B49/(B4+B12)</f>
        <v>379.92081737296741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G20" sqref="G20"/>
    </sheetView>
  </sheetViews>
  <sheetFormatPr defaultRowHeight="15" x14ac:dyDescent="0.25"/>
  <cols>
    <col min="1" max="1" width="40.140625" customWidth="1"/>
    <col min="2" max="2" width="10.42578125" customWidth="1"/>
    <col min="3" max="3" width="14" customWidth="1"/>
    <col min="4" max="4" width="9.140625" style="5"/>
    <col min="6" max="6" width="12.28515625" customWidth="1"/>
    <col min="7" max="7" width="16.28515625" bestFit="1" customWidth="1"/>
  </cols>
  <sheetData>
    <row r="1" spans="1:7" s="14" customFormat="1" ht="90" customHeight="1" x14ac:dyDescent="0.25">
      <c r="A1" s="14" t="s">
        <v>63</v>
      </c>
      <c r="B1" s="14" t="s">
        <v>59</v>
      </c>
      <c r="C1" s="14" t="s">
        <v>506</v>
      </c>
      <c r="D1" s="15"/>
    </row>
    <row r="3" spans="1:7" x14ac:dyDescent="0.25">
      <c r="A3" t="s">
        <v>14</v>
      </c>
      <c r="B3" s="2">
        <v>0.56999999999999995</v>
      </c>
      <c r="C3" s="2">
        <v>0.56999999999999995</v>
      </c>
    </row>
    <row r="4" spans="1:7" x14ac:dyDescent="0.25">
      <c r="A4" t="s">
        <v>88</v>
      </c>
      <c r="B4" s="1">
        <v>100000</v>
      </c>
      <c r="C4" s="4">
        <v>100000</v>
      </c>
    </row>
    <row r="5" spans="1:7" x14ac:dyDescent="0.25">
      <c r="A5" t="s">
        <v>662</v>
      </c>
      <c r="B5" s="162">
        <v>0.11600000000000001</v>
      </c>
      <c r="C5" s="162">
        <v>0.11600000000000001</v>
      </c>
    </row>
    <row r="6" spans="1:7" x14ac:dyDescent="0.25">
      <c r="A6" t="s">
        <v>110</v>
      </c>
      <c r="B6" s="1">
        <f>B4*(1-B5)</f>
        <v>88400</v>
      </c>
      <c r="C6" s="4"/>
    </row>
    <row r="7" spans="1:7" x14ac:dyDescent="0.25">
      <c r="A7" t="s">
        <v>89</v>
      </c>
      <c r="B7" s="1">
        <v>14000</v>
      </c>
      <c r="C7" s="4">
        <v>14000</v>
      </c>
    </row>
    <row r="8" spans="1:7" x14ac:dyDescent="0.25">
      <c r="A8" t="s">
        <v>0</v>
      </c>
      <c r="B8">
        <v>15</v>
      </c>
      <c r="C8">
        <v>15</v>
      </c>
    </row>
    <row r="9" spans="1:7" x14ac:dyDescent="0.25">
      <c r="A9" t="s">
        <v>65</v>
      </c>
      <c r="B9">
        <v>80</v>
      </c>
      <c r="C9">
        <v>80</v>
      </c>
      <c r="D9" s="5" t="s">
        <v>58</v>
      </c>
    </row>
    <row r="10" spans="1:7" x14ac:dyDescent="0.25">
      <c r="A10" t="s">
        <v>44</v>
      </c>
      <c r="B10">
        <v>15</v>
      </c>
      <c r="C10">
        <v>15</v>
      </c>
      <c r="D10" s="5" t="s">
        <v>191</v>
      </c>
    </row>
    <row r="11" spans="1:7" x14ac:dyDescent="0.25">
      <c r="A11" t="s">
        <v>66</v>
      </c>
      <c r="B11">
        <v>40</v>
      </c>
      <c r="C11">
        <v>40</v>
      </c>
    </row>
    <row r="12" spans="1:7" x14ac:dyDescent="0.25">
      <c r="A12" t="s">
        <v>79</v>
      </c>
      <c r="B12">
        <v>5</v>
      </c>
      <c r="C12">
        <v>5</v>
      </c>
      <c r="F12" s="11" t="s">
        <v>84</v>
      </c>
    </row>
    <row r="13" spans="1:7" x14ac:dyDescent="0.25">
      <c r="A13" t="s">
        <v>1</v>
      </c>
      <c r="B13">
        <v>5</v>
      </c>
      <c r="C13">
        <v>5</v>
      </c>
      <c r="F13" s="13" t="s">
        <v>38</v>
      </c>
      <c r="G13" s="12">
        <f>+'F2F with sibs'!B40</f>
        <v>88480310.470896468</v>
      </c>
    </row>
    <row r="14" spans="1:7" x14ac:dyDescent="0.25">
      <c r="A14" t="s">
        <v>2</v>
      </c>
      <c r="B14">
        <v>6</v>
      </c>
      <c r="C14">
        <v>6</v>
      </c>
      <c r="F14" s="13" t="s">
        <v>39</v>
      </c>
      <c r="G14" s="12">
        <f>+'F2F with sibs'!B42</f>
        <v>960.07281326927591</v>
      </c>
    </row>
    <row r="15" spans="1:7" x14ac:dyDescent="0.25">
      <c r="A15" t="s">
        <v>7</v>
      </c>
      <c r="B15">
        <v>44</v>
      </c>
      <c r="C15">
        <v>44</v>
      </c>
    </row>
    <row r="16" spans="1:7" x14ac:dyDescent="0.25">
      <c r="A16" t="s">
        <v>8</v>
      </c>
      <c r="B16">
        <v>48</v>
      </c>
      <c r="C16">
        <v>48</v>
      </c>
      <c r="F16" s="11" t="s">
        <v>85</v>
      </c>
    </row>
    <row r="17" spans="1:9" x14ac:dyDescent="0.25">
      <c r="A17" t="s">
        <v>153</v>
      </c>
      <c r="B17" s="3">
        <v>23</v>
      </c>
      <c r="C17" s="3">
        <v>23</v>
      </c>
      <c r="F17" s="13" t="s">
        <v>38</v>
      </c>
      <c r="G17" s="12">
        <f>+'Max phone - no sibs'!B49</f>
        <v>34192873.563567065</v>
      </c>
    </row>
    <row r="18" spans="1:9" x14ac:dyDescent="0.25">
      <c r="A18" t="s">
        <v>26</v>
      </c>
      <c r="B18" s="2">
        <v>1.2</v>
      </c>
      <c r="C18" s="2">
        <v>1.2</v>
      </c>
      <c r="F18" s="13" t="s">
        <v>39</v>
      </c>
      <c r="G18" s="12">
        <f>+'Max phone - no sibs'!B51</f>
        <v>379.92081737296741</v>
      </c>
    </row>
    <row r="19" spans="1:9" x14ac:dyDescent="0.25">
      <c r="A19" t="s">
        <v>3</v>
      </c>
      <c r="B19" s="3">
        <v>30</v>
      </c>
      <c r="C19" s="3">
        <v>30</v>
      </c>
    </row>
    <row r="20" spans="1:9" x14ac:dyDescent="0.25">
      <c r="A20" t="s">
        <v>27</v>
      </c>
      <c r="B20" s="2">
        <v>1.4</v>
      </c>
      <c r="C20" s="2">
        <v>1.4</v>
      </c>
      <c r="F20" s="11" t="s">
        <v>38</v>
      </c>
      <c r="G20" s="3">
        <f>+'Cases &amp; costs over time'!Z79</f>
        <v>693824553.55767322</v>
      </c>
      <c r="I20" t="s">
        <v>671</v>
      </c>
    </row>
    <row r="21" spans="1:9" x14ac:dyDescent="0.25">
      <c r="A21" t="s">
        <v>4</v>
      </c>
      <c r="B21" s="3">
        <v>40</v>
      </c>
      <c r="C21" s="3">
        <v>40</v>
      </c>
    </row>
    <row r="22" spans="1:9" x14ac:dyDescent="0.25">
      <c r="A22" t="s">
        <v>25</v>
      </c>
      <c r="B22" s="2">
        <v>1.4</v>
      </c>
      <c r="C22" s="2">
        <v>1.4</v>
      </c>
    </row>
    <row r="23" spans="1:9" x14ac:dyDescent="0.25">
      <c r="A23" t="s">
        <v>5</v>
      </c>
      <c r="B23" s="3">
        <v>30</v>
      </c>
      <c r="C23" s="3">
        <v>30</v>
      </c>
      <c r="D23" s="5" t="s">
        <v>657</v>
      </c>
    </row>
    <row r="24" spans="1:9" x14ac:dyDescent="0.25">
      <c r="A24" t="s">
        <v>57</v>
      </c>
      <c r="B24" s="3">
        <v>750</v>
      </c>
      <c r="C24" s="3">
        <v>750</v>
      </c>
    </row>
    <row r="25" spans="1:9" x14ac:dyDescent="0.25">
      <c r="A25" t="s">
        <v>23</v>
      </c>
      <c r="B25" s="3">
        <v>1550</v>
      </c>
      <c r="C25" s="3">
        <v>1550</v>
      </c>
      <c r="D25" s="5" t="s">
        <v>556</v>
      </c>
    </row>
    <row r="26" spans="1:9" x14ac:dyDescent="0.25">
      <c r="A26" t="s">
        <v>6</v>
      </c>
      <c r="B26" s="3">
        <v>15</v>
      </c>
      <c r="C26" s="3">
        <v>15</v>
      </c>
    </row>
    <row r="27" spans="1:9" x14ac:dyDescent="0.25">
      <c r="A27" t="s">
        <v>154</v>
      </c>
      <c r="B27" s="3">
        <v>50</v>
      </c>
      <c r="C27" s="3">
        <v>50</v>
      </c>
      <c r="D27" s="5" t="s">
        <v>152</v>
      </c>
    </row>
    <row r="28" spans="1:9" x14ac:dyDescent="0.25">
      <c r="A28" t="s">
        <v>496</v>
      </c>
      <c r="B28" s="3">
        <v>190</v>
      </c>
      <c r="C28" s="3">
        <v>190</v>
      </c>
      <c r="D28" s="5" t="s">
        <v>635</v>
      </c>
    </row>
    <row r="29" spans="1:9" x14ac:dyDescent="0.25">
      <c r="A29" t="s">
        <v>54</v>
      </c>
      <c r="B29">
        <v>5.5</v>
      </c>
      <c r="C29">
        <v>5.5</v>
      </c>
      <c r="D29" s="5" t="s">
        <v>500</v>
      </c>
    </row>
    <row r="30" spans="1:9" x14ac:dyDescent="0.25">
      <c r="A30" t="s">
        <v>55</v>
      </c>
      <c r="B30">
        <v>9</v>
      </c>
      <c r="C30">
        <v>9</v>
      </c>
      <c r="D30" s="5" t="s">
        <v>498</v>
      </c>
    </row>
    <row r="31" spans="1:9" x14ac:dyDescent="0.25">
      <c r="A31" t="s">
        <v>60</v>
      </c>
      <c r="B31">
        <v>2</v>
      </c>
      <c r="C31">
        <v>2</v>
      </c>
      <c r="D31" s="5" t="s">
        <v>62</v>
      </c>
    </row>
    <row r="32" spans="1:9" x14ac:dyDescent="0.25">
      <c r="A32" t="s">
        <v>61</v>
      </c>
      <c r="B32">
        <v>4.5</v>
      </c>
      <c r="C32">
        <v>4.5</v>
      </c>
    </row>
    <row r="33" spans="1:4" x14ac:dyDescent="0.25">
      <c r="A33" t="s">
        <v>502</v>
      </c>
      <c r="B33">
        <v>2</v>
      </c>
      <c r="C33">
        <v>2</v>
      </c>
    </row>
    <row r="34" spans="1:4" x14ac:dyDescent="0.25">
      <c r="A34" t="s">
        <v>503</v>
      </c>
      <c r="B34">
        <v>1</v>
      </c>
      <c r="C34">
        <v>1</v>
      </c>
    </row>
    <row r="35" spans="1:4" x14ac:dyDescent="0.25">
      <c r="A35" t="s">
        <v>9</v>
      </c>
      <c r="B35" s="2">
        <v>0.65</v>
      </c>
      <c r="C35" s="2">
        <v>0.65</v>
      </c>
      <c r="D35" s="5" t="s">
        <v>56</v>
      </c>
    </row>
    <row r="36" spans="1:4" x14ac:dyDescent="0.25">
      <c r="A36" t="s">
        <v>10</v>
      </c>
      <c r="B36" s="2">
        <v>0.25</v>
      </c>
      <c r="C36" s="2">
        <v>0.25</v>
      </c>
    </row>
    <row r="37" spans="1:4" x14ac:dyDescent="0.25">
      <c r="A37" t="s">
        <v>11</v>
      </c>
      <c r="B37" s="2">
        <f>1-B35-B36</f>
        <v>9.9999999999999978E-2</v>
      </c>
      <c r="C37" s="2">
        <v>0.1</v>
      </c>
    </row>
    <row r="38" spans="1:4" x14ac:dyDescent="0.25">
      <c r="C38" s="2"/>
    </row>
    <row r="39" spans="1:4" x14ac:dyDescent="0.25">
      <c r="A39" t="s">
        <v>12</v>
      </c>
      <c r="B39" s="3">
        <v>40</v>
      </c>
      <c r="C39" s="3">
        <v>40</v>
      </c>
      <c r="D39" s="5" t="s">
        <v>501</v>
      </c>
    </row>
    <row r="40" spans="1:4" x14ac:dyDescent="0.25">
      <c r="A40" t="s">
        <v>13</v>
      </c>
      <c r="B40" s="3">
        <v>110</v>
      </c>
      <c r="C40" s="3">
        <v>110</v>
      </c>
      <c r="D40" s="5" t="s">
        <v>501</v>
      </c>
    </row>
    <row r="41" spans="1:4" x14ac:dyDescent="0.25">
      <c r="A41" t="s">
        <v>81</v>
      </c>
      <c r="B41" s="3">
        <v>50</v>
      </c>
      <c r="C41" s="3">
        <v>50</v>
      </c>
    </row>
    <row r="42" spans="1:4" x14ac:dyDescent="0.25">
      <c r="A42" t="s">
        <v>24</v>
      </c>
      <c r="B42" s="3">
        <v>85</v>
      </c>
      <c r="C42" s="3">
        <v>85</v>
      </c>
    </row>
    <row r="43" spans="1:4" x14ac:dyDescent="0.25">
      <c r="C43" s="2"/>
    </row>
    <row r="44" spans="1:4" x14ac:dyDescent="0.25">
      <c r="A44" s="11" t="s">
        <v>43</v>
      </c>
    </row>
    <row r="45" spans="1:4" x14ac:dyDescent="0.25">
      <c r="A45" t="s">
        <v>45</v>
      </c>
      <c r="B45" s="3">
        <v>600</v>
      </c>
      <c r="C45" s="3">
        <v>600</v>
      </c>
    </row>
    <row r="46" spans="1:4" x14ac:dyDescent="0.25">
      <c r="A46" t="s">
        <v>46</v>
      </c>
      <c r="B46" s="3">
        <v>300</v>
      </c>
      <c r="C46" s="3">
        <v>300</v>
      </c>
    </row>
    <row r="47" spans="1:4" x14ac:dyDescent="0.25">
      <c r="A47" t="s">
        <v>47</v>
      </c>
      <c r="B47">
        <v>30</v>
      </c>
      <c r="C47">
        <v>30</v>
      </c>
      <c r="D47" s="5" t="s">
        <v>192</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opLeftCell="A15" workbookViewId="0">
      <selection activeCell="B49" sqref="B49"/>
    </sheetView>
  </sheetViews>
  <sheetFormatPr defaultRowHeight="15" x14ac:dyDescent="0.25"/>
  <cols>
    <col min="1" max="1" width="39" customWidth="1"/>
    <col min="2" max="2" width="15.28515625" bestFit="1" customWidth="1"/>
  </cols>
  <sheetData>
    <row r="1" spans="1:2" s="14" customFormat="1" ht="120" x14ac:dyDescent="0.25">
      <c r="A1" s="14" t="s">
        <v>87</v>
      </c>
    </row>
    <row r="3" spans="1:2" x14ac:dyDescent="0.25">
      <c r="A3" s="11" t="s">
        <v>52</v>
      </c>
    </row>
    <row r="4" spans="1:2" x14ac:dyDescent="0.25">
      <c r="A4" t="s">
        <v>90</v>
      </c>
      <c r="B4" s="4">
        <f>(+Parameters!B$6)*+Parameters!B$35</f>
        <v>57460</v>
      </c>
    </row>
    <row r="5" spans="1:2" x14ac:dyDescent="0.25">
      <c r="A5" t="s">
        <v>91</v>
      </c>
      <c r="B5" s="4">
        <f>(+Parameters!B$7)*+Parameters!B$35</f>
        <v>9100</v>
      </c>
    </row>
    <row r="6" spans="1:2" x14ac:dyDescent="0.25">
      <c r="A6" s="5" t="s">
        <v>16</v>
      </c>
      <c r="B6" s="4">
        <f>B4*((+Parameters!B29)+(+Parameters!B33))+B5*+Parameters!B33</f>
        <v>449150</v>
      </c>
    </row>
    <row r="7" spans="1:2" x14ac:dyDescent="0.25">
      <c r="A7" s="9" t="s">
        <v>111</v>
      </c>
      <c r="B7" s="4">
        <f>(+Parameters!B$6)*+Parameters!B$36</f>
        <v>22100</v>
      </c>
    </row>
    <row r="8" spans="1:2" x14ac:dyDescent="0.25">
      <c r="A8" s="9" t="s">
        <v>92</v>
      </c>
      <c r="B8" s="4">
        <f>(+Parameters!B$7)*+Parameters!B$36</f>
        <v>3500</v>
      </c>
    </row>
    <row r="9" spans="1:2" x14ac:dyDescent="0.25">
      <c r="A9" s="5" t="s">
        <v>17</v>
      </c>
      <c r="B9" s="4">
        <f>B7*((+Parameters!B30)+(+Parameters!B33))+B8*+Parameters!B33</f>
        <v>250100</v>
      </c>
    </row>
    <row r="10" spans="1:2" x14ac:dyDescent="0.25">
      <c r="A10" t="s">
        <v>40</v>
      </c>
      <c r="B10" s="6">
        <f>SUM(B6+B9)</f>
        <v>699250</v>
      </c>
    </row>
    <row r="11" spans="1:2" x14ac:dyDescent="0.25">
      <c r="A11" t="s">
        <v>41</v>
      </c>
      <c r="B11" s="6">
        <f>B16*+Parameters!B9</f>
        <v>93233.333333333343</v>
      </c>
    </row>
    <row r="12" spans="1:2" x14ac:dyDescent="0.25">
      <c r="A12" t="s">
        <v>42</v>
      </c>
      <c r="B12" s="6">
        <f>B10+B11</f>
        <v>792483.33333333337</v>
      </c>
    </row>
    <row r="13" spans="1:2" x14ac:dyDescent="0.25">
      <c r="A13" t="s">
        <v>31</v>
      </c>
      <c r="B13" s="3">
        <f>B12*+Parameters!B17*+Parameters!B18</f>
        <v>21872540</v>
      </c>
    </row>
    <row r="14" spans="1:2" x14ac:dyDescent="0.25">
      <c r="A14" t="s">
        <v>18</v>
      </c>
      <c r="B14">
        <f>+Parameters!B15*+Parameters!B8</f>
        <v>660</v>
      </c>
    </row>
    <row r="15" spans="1:2" x14ac:dyDescent="0.25">
      <c r="A15" t="s">
        <v>20</v>
      </c>
      <c r="B15" s="6">
        <f>B10/B14</f>
        <v>1059.469696969697</v>
      </c>
    </row>
    <row r="16" spans="1:2" x14ac:dyDescent="0.25">
      <c r="A16" t="s">
        <v>53</v>
      </c>
      <c r="B16" s="6">
        <f>B15*1.1</f>
        <v>1165.4166666666667</v>
      </c>
    </row>
    <row r="17" spans="1:3" x14ac:dyDescent="0.25">
      <c r="A17" t="s">
        <v>531</v>
      </c>
      <c r="B17" s="7">
        <f>100000/B15</f>
        <v>94.386843046120845</v>
      </c>
    </row>
    <row r="18" spans="1:3" x14ac:dyDescent="0.25">
      <c r="B18" s="6"/>
    </row>
    <row r="19" spans="1:3" x14ac:dyDescent="0.25">
      <c r="A19" t="s">
        <v>48</v>
      </c>
      <c r="B19" s="4">
        <f>B12/+Parameters!B13</f>
        <v>158496.66666666669</v>
      </c>
    </row>
    <row r="20" spans="1:3" x14ac:dyDescent="0.25">
      <c r="A20" t="s">
        <v>49</v>
      </c>
      <c r="B20" s="4">
        <f>B16*Parameters!B47</f>
        <v>34962.5</v>
      </c>
    </row>
    <row r="21" spans="1:3" x14ac:dyDescent="0.25">
      <c r="A21" t="s">
        <v>50</v>
      </c>
      <c r="B21" s="3">
        <f>(B19+B20)*+Parameters!B19*+Parameters!B20</f>
        <v>8125285.0000000009</v>
      </c>
    </row>
    <row r="22" spans="1:3" x14ac:dyDescent="0.25">
      <c r="A22" t="s">
        <v>19</v>
      </c>
      <c r="B22" s="8">
        <f>B19/(+Parameters!B16*+Parameters!B15)</f>
        <v>75.045770202020208</v>
      </c>
    </row>
    <row r="23" spans="1:3" x14ac:dyDescent="0.25">
      <c r="B23" s="8"/>
    </row>
    <row r="24" spans="1:3" x14ac:dyDescent="0.25">
      <c r="A24" t="s">
        <v>32</v>
      </c>
      <c r="B24" s="8">
        <f>B19/+Parameters!B14</f>
        <v>26416.111111111113</v>
      </c>
    </row>
    <row r="25" spans="1:3" x14ac:dyDescent="0.25">
      <c r="A25" t="s">
        <v>33</v>
      </c>
      <c r="B25" s="3">
        <f>B24*+Parameters!B21*+Parameters!B22</f>
        <v>1479302.2222222222</v>
      </c>
    </row>
    <row r="26" spans="1:3" x14ac:dyDescent="0.25">
      <c r="B26" s="3"/>
    </row>
    <row r="27" spans="1:3" x14ac:dyDescent="0.25">
      <c r="A27" t="s">
        <v>51</v>
      </c>
      <c r="B27" s="3">
        <f>(B16+B22)*(+Parameters!B45+Parameters!B10*+Parameters!B46)</f>
        <v>6326358.4280303027</v>
      </c>
    </row>
    <row r="28" spans="1:3" x14ac:dyDescent="0.25">
      <c r="B28" s="3"/>
    </row>
    <row r="30" spans="1:3" x14ac:dyDescent="0.25">
      <c r="A30" t="s">
        <v>21</v>
      </c>
    </row>
    <row r="31" spans="1:3" x14ac:dyDescent="0.25">
      <c r="A31" s="5" t="s">
        <v>22</v>
      </c>
      <c r="B31" s="7">
        <f>1.05*(B22+B15)</f>
        <v>1191.2412405303032</v>
      </c>
    </row>
    <row r="32" spans="1:3" x14ac:dyDescent="0.25">
      <c r="A32" t="s">
        <v>28</v>
      </c>
      <c r="B32" s="3"/>
      <c r="C32" t="s">
        <v>495</v>
      </c>
    </row>
    <row r="33" spans="1:2" x14ac:dyDescent="0.25">
      <c r="A33" t="s">
        <v>29</v>
      </c>
      <c r="B33" s="3">
        <f>(B4+B5+B7+B8)*(+Parameters!B26++Parameters!B27)</f>
        <v>5990400</v>
      </c>
    </row>
    <row r="35" spans="1:2" x14ac:dyDescent="0.25">
      <c r="A35" t="s">
        <v>34</v>
      </c>
      <c r="B35" s="3">
        <f>(B4+B5+B7+B8)*+Parameters!B42</f>
        <v>7833600</v>
      </c>
    </row>
    <row r="36" spans="1:2" x14ac:dyDescent="0.25">
      <c r="A36" t="s">
        <v>35</v>
      </c>
      <c r="B36" s="3">
        <f>(B4)*+Parameters!B39+(B7)*+Parameters!B40</f>
        <v>4729400</v>
      </c>
    </row>
    <row r="38" spans="1:2" x14ac:dyDescent="0.25">
      <c r="A38" s="5" t="s">
        <v>36</v>
      </c>
      <c r="B38" s="10">
        <f>B13+B21+B25+B27+B32+B33+B35+B36</f>
        <v>56356885.650252528</v>
      </c>
    </row>
    <row r="39" spans="1:2" x14ac:dyDescent="0.25">
      <c r="A39" s="5" t="s">
        <v>37</v>
      </c>
      <c r="B39" s="10">
        <f>B38*+Parameters!B3</f>
        <v>32123424.820643939</v>
      </c>
    </row>
    <row r="40" spans="1:2" x14ac:dyDescent="0.25">
      <c r="A40" t="s">
        <v>38</v>
      </c>
      <c r="B40" s="10">
        <f>SUM(B38:B39)</f>
        <v>88480310.470896468</v>
      </c>
    </row>
    <row r="42" spans="1:2" x14ac:dyDescent="0.25">
      <c r="A42" t="s">
        <v>39</v>
      </c>
      <c r="B42" s="10">
        <f>B40/(B4+B5+B7+B8)</f>
        <v>960.07281326927591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
  <sheetViews>
    <sheetView workbookViewId="0">
      <pane xSplit="3" ySplit="6" topLeftCell="M55" activePane="bottomRight" state="frozen"/>
      <selection pane="topRight" activeCell="D1" sqref="D1"/>
      <selection pane="bottomLeft" activeCell="A7" sqref="A7"/>
      <selection pane="bottomRight" activeCell="A4" sqref="A4"/>
    </sheetView>
  </sheetViews>
  <sheetFormatPr defaultRowHeight="15" x14ac:dyDescent="0.25"/>
  <cols>
    <col min="1" max="1" width="18" customWidth="1"/>
    <col min="2" max="2" width="23.140625" customWidth="1"/>
    <col min="3" max="3" width="15.7109375" customWidth="1"/>
    <col min="5" max="7" width="10.5703125" bestFit="1" customWidth="1"/>
    <col min="9" max="12" width="9.5703125" bestFit="1" customWidth="1"/>
    <col min="14" max="14" width="9.5703125" bestFit="1" customWidth="1"/>
    <col min="17" max="18" width="9.5703125" bestFit="1" customWidth="1"/>
    <col min="21" max="24" width="9.5703125" bestFit="1" customWidth="1"/>
    <col min="25" max="25" width="10.5703125" bestFit="1" customWidth="1"/>
    <col min="26" max="26" width="15.28515625" bestFit="1" customWidth="1"/>
  </cols>
  <sheetData>
    <row r="1" spans="1:26" x14ac:dyDescent="0.25">
      <c r="A1" s="6" t="s">
        <v>124</v>
      </c>
      <c r="B1" s="3">
        <f>+Parameters!G14</f>
        <v>960.07281326927591</v>
      </c>
      <c r="G1" t="s">
        <v>114</v>
      </c>
    </row>
    <row r="2" spans="1:26" x14ac:dyDescent="0.25">
      <c r="A2" s="6" t="s">
        <v>125</v>
      </c>
      <c r="B2" s="3">
        <f>+Parameters!G18</f>
        <v>379.92081737296741</v>
      </c>
      <c r="E2" t="s">
        <v>93</v>
      </c>
      <c r="G2" t="s">
        <v>113</v>
      </c>
      <c r="I2" t="s">
        <v>119</v>
      </c>
      <c r="K2" t="s">
        <v>120</v>
      </c>
      <c r="M2" t="s">
        <v>103</v>
      </c>
      <c r="O2" t="s">
        <v>113</v>
      </c>
      <c r="Q2" t="s">
        <v>119</v>
      </c>
      <c r="S2" t="s">
        <v>121</v>
      </c>
      <c r="U2" t="s">
        <v>113</v>
      </c>
      <c r="W2" t="s">
        <v>122</v>
      </c>
      <c r="Y2" t="s">
        <v>127</v>
      </c>
      <c r="Z2" t="s">
        <v>38</v>
      </c>
    </row>
    <row r="3" spans="1:26" x14ac:dyDescent="0.25">
      <c r="A3" s="6" t="s">
        <v>147</v>
      </c>
      <c r="B3" s="3">
        <f>+Recruitment!B11</f>
        <v>237</v>
      </c>
      <c r="C3" t="s">
        <v>157</v>
      </c>
    </row>
    <row r="4" spans="1:26" x14ac:dyDescent="0.25">
      <c r="A4" s="6" t="s">
        <v>146</v>
      </c>
      <c r="B4" s="3">
        <f>+Recruitment!B7</f>
        <v>427</v>
      </c>
      <c r="C4" t="s">
        <v>157</v>
      </c>
      <c r="D4" t="s">
        <v>126</v>
      </c>
      <c r="E4" t="s">
        <v>101</v>
      </c>
      <c r="F4" t="s">
        <v>102</v>
      </c>
      <c r="G4" t="s">
        <v>101</v>
      </c>
      <c r="H4" t="s">
        <v>102</v>
      </c>
      <c r="I4" t="s">
        <v>101</v>
      </c>
      <c r="J4" t="s">
        <v>102</v>
      </c>
      <c r="K4" t="s">
        <v>101</v>
      </c>
      <c r="L4" t="s">
        <v>102</v>
      </c>
      <c r="M4" t="s">
        <v>101</v>
      </c>
      <c r="N4" t="s">
        <v>102</v>
      </c>
      <c r="O4" t="s">
        <v>101</v>
      </c>
      <c r="P4" t="s">
        <v>102</v>
      </c>
      <c r="Q4" t="s">
        <v>101</v>
      </c>
      <c r="R4" t="s">
        <v>102</v>
      </c>
      <c r="S4" t="s">
        <v>101</v>
      </c>
      <c r="T4" t="s">
        <v>102</v>
      </c>
      <c r="U4" t="s">
        <v>101</v>
      </c>
      <c r="V4" t="s">
        <v>102</v>
      </c>
      <c r="W4" t="s">
        <v>101</v>
      </c>
      <c r="X4" t="s">
        <v>102</v>
      </c>
      <c r="Z4" t="s">
        <v>133</v>
      </c>
    </row>
    <row r="5" spans="1:26" x14ac:dyDescent="0.25">
      <c r="B5" s="6" t="s">
        <v>194</v>
      </c>
      <c r="C5" s="28">
        <v>19150</v>
      </c>
      <c r="E5" s="4"/>
      <c r="F5" s="4"/>
      <c r="M5" s="4"/>
      <c r="N5" s="4"/>
    </row>
    <row r="6" spans="1:26" x14ac:dyDescent="0.25">
      <c r="A6" s="6"/>
      <c r="B6" t="s">
        <v>190</v>
      </c>
      <c r="C6" s="28">
        <v>0.5</v>
      </c>
    </row>
    <row r="7" spans="1:26" x14ac:dyDescent="0.25">
      <c r="A7" s="6"/>
      <c r="B7" t="s">
        <v>201</v>
      </c>
      <c r="C7" s="28">
        <v>0.52500000000000002</v>
      </c>
      <c r="H7" s="28" t="s">
        <v>677</v>
      </c>
    </row>
    <row r="8" spans="1:26" x14ac:dyDescent="0.25">
      <c r="A8" s="6"/>
      <c r="B8" t="s">
        <v>142</v>
      </c>
      <c r="Z8" s="3">
        <f>+Recruitment!B13</f>
        <v>76375500</v>
      </c>
    </row>
    <row r="9" spans="1:26" x14ac:dyDescent="0.25">
      <c r="A9" s="6"/>
    </row>
    <row r="10" spans="1:26" x14ac:dyDescent="0.25">
      <c r="A10" s="6" t="s">
        <v>115</v>
      </c>
      <c r="B10" t="s">
        <v>156</v>
      </c>
      <c r="D10" s="29">
        <f>B$4</f>
        <v>427</v>
      </c>
      <c r="E10" s="4">
        <f>E12*1.2</f>
        <v>11771.907149999999</v>
      </c>
      <c r="F10" s="4">
        <f>F$14*1.2</f>
        <v>11771.907149999999</v>
      </c>
      <c r="H10" s="28" t="s">
        <v>672</v>
      </c>
      <c r="Y10" s="6">
        <f>E10+F10</f>
        <v>23543.814299999998</v>
      </c>
      <c r="Z10" s="3">
        <f>E10*$B$3+F10*$B$4</f>
        <v>7816546.3476</v>
      </c>
    </row>
    <row r="11" spans="1:26" x14ac:dyDescent="0.25">
      <c r="A11" s="6"/>
      <c r="B11" t="s">
        <v>195</v>
      </c>
      <c r="D11" s="10"/>
      <c r="E11" s="6">
        <f>$C$5*$C$6</f>
        <v>9575</v>
      </c>
      <c r="F11" s="6">
        <f>$C$5*(1-$C$6)</f>
        <v>9575</v>
      </c>
      <c r="Y11" s="6"/>
      <c r="Z11" s="3"/>
    </row>
    <row r="12" spans="1:26" x14ac:dyDescent="0.25">
      <c r="A12" s="6"/>
      <c r="B12" s="5" t="s">
        <v>94</v>
      </c>
      <c r="C12" t="s">
        <v>112</v>
      </c>
      <c r="D12" s="29">
        <f>B$1</f>
        <v>960.07281326927591</v>
      </c>
      <c r="E12" s="6">
        <f>(1++'Duncan fertility'!$O$3)*E11</f>
        <v>9809.9226249999992</v>
      </c>
      <c r="F12" s="6"/>
      <c r="H12" s="28" t="s">
        <v>673</v>
      </c>
      <c r="Y12" s="6">
        <f t="shared" ref="Y12:Y20" si="0">SUM(E12:X12)</f>
        <v>9809.9226249999992</v>
      </c>
      <c r="Z12" s="3">
        <f t="shared" ref="Z12:Z20" si="1">Y12*D12</f>
        <v>9418240.0125376694</v>
      </c>
    </row>
    <row r="13" spans="1:26" x14ac:dyDescent="0.25">
      <c r="A13" s="6"/>
      <c r="B13" s="5" t="s">
        <v>95</v>
      </c>
      <c r="C13" t="s">
        <v>112</v>
      </c>
      <c r="D13" s="29">
        <f t="shared" ref="D13:D16" si="2">B$1</f>
        <v>960.07281326927591</v>
      </c>
      <c r="E13" s="6">
        <f>E$12</f>
        <v>9809.9226249999992</v>
      </c>
      <c r="F13" s="6"/>
      <c r="H13" t="s">
        <v>676</v>
      </c>
      <c r="J13" s="6"/>
      <c r="Y13" s="6">
        <f t="shared" si="0"/>
        <v>9809.9226249999992</v>
      </c>
      <c r="Z13" s="3">
        <f t="shared" si="1"/>
        <v>9418240.0125376694</v>
      </c>
    </row>
    <row r="14" spans="1:26" x14ac:dyDescent="0.25">
      <c r="A14" s="6"/>
      <c r="B14" s="5" t="s">
        <v>96</v>
      </c>
      <c r="C14" t="s">
        <v>112</v>
      </c>
      <c r="D14" s="29">
        <f t="shared" si="2"/>
        <v>960.07281326927591</v>
      </c>
      <c r="E14" s="6"/>
      <c r="F14" s="6">
        <f>(1++'Duncan fertility'!$O$3)*F11</f>
        <v>9809.9226249999992</v>
      </c>
      <c r="Y14" s="6">
        <f t="shared" si="0"/>
        <v>9809.9226249999992</v>
      </c>
      <c r="Z14" s="3">
        <f t="shared" si="1"/>
        <v>9418240.0125376694</v>
      </c>
    </row>
    <row r="15" spans="1:26" x14ac:dyDescent="0.25">
      <c r="A15" s="6"/>
      <c r="B15" s="5" t="s">
        <v>197</v>
      </c>
      <c r="C15" s="29">
        <f>+Parameters!$B$42++Parameters!$B$17*+Parameters!$B$18*(1++Parameters!$B$3)*+Parameters!$B$33*1.5</f>
        <v>214.99599999999998</v>
      </c>
      <c r="D15" s="10">
        <f>$C$15</f>
        <v>214.99599999999998</v>
      </c>
      <c r="E15" s="6">
        <f t="shared" ref="E15:E20" si="3">E$12</f>
        <v>9809.9226249999992</v>
      </c>
      <c r="F15" s="6">
        <f t="shared" ref="F15:F20" si="4">F$14</f>
        <v>9809.9226249999992</v>
      </c>
      <c r="H15" s="28" t="s">
        <v>675</v>
      </c>
      <c r="I15" s="334"/>
      <c r="Y15" s="6">
        <f t="shared" si="0"/>
        <v>19619.845249999998</v>
      </c>
      <c r="Z15" s="3">
        <f>Y15*D15*$C$7</f>
        <v>2214548.8309187246</v>
      </c>
    </row>
    <row r="16" spans="1:26" x14ac:dyDescent="0.25">
      <c r="A16" s="6"/>
      <c r="B16" s="5" t="s">
        <v>200</v>
      </c>
      <c r="C16" t="s">
        <v>112</v>
      </c>
      <c r="D16" s="29">
        <f t="shared" si="2"/>
        <v>960.07281326927591</v>
      </c>
      <c r="E16" s="6">
        <f t="shared" si="3"/>
        <v>9809.9226249999992</v>
      </c>
      <c r="F16" s="6">
        <f t="shared" si="4"/>
        <v>9809.9226249999992</v>
      </c>
      <c r="Y16" s="6">
        <f t="shared" si="0"/>
        <v>19619.845249999998</v>
      </c>
      <c r="Z16" s="3">
        <f>Y15*D16*(1-$C$7)</f>
        <v>8947328.011910785</v>
      </c>
    </row>
    <row r="17" spans="1:26" x14ac:dyDescent="0.25">
      <c r="A17" s="6"/>
      <c r="B17" s="5" t="s">
        <v>97</v>
      </c>
      <c r="C17" t="s">
        <v>123</v>
      </c>
      <c r="D17" s="29">
        <f>B$2</f>
        <v>379.92081737296741</v>
      </c>
      <c r="E17" s="6">
        <f t="shared" si="3"/>
        <v>9809.9226249999992</v>
      </c>
      <c r="F17" s="6">
        <f t="shared" si="4"/>
        <v>9809.9226249999992</v>
      </c>
      <c r="Y17" s="6">
        <f t="shared" si="0"/>
        <v>19619.845249999998</v>
      </c>
      <c r="Z17" s="3">
        <f t="shared" si="1"/>
        <v>7453987.6441111313</v>
      </c>
    </row>
    <row r="18" spans="1:26" x14ac:dyDescent="0.25">
      <c r="A18" s="6"/>
      <c r="B18" s="5" t="s">
        <v>98</v>
      </c>
      <c r="C18" t="s">
        <v>112</v>
      </c>
      <c r="D18" s="29">
        <f>B$1</f>
        <v>960.07281326927591</v>
      </c>
      <c r="E18" s="6">
        <f t="shared" si="3"/>
        <v>9809.9226249999992</v>
      </c>
      <c r="F18" s="6">
        <f t="shared" si="4"/>
        <v>9809.9226249999992</v>
      </c>
      <c r="Y18" s="6">
        <f t="shared" si="0"/>
        <v>19619.845249999998</v>
      </c>
      <c r="Z18" s="3">
        <f t="shared" si="1"/>
        <v>18836480.025075339</v>
      </c>
    </row>
    <row r="19" spans="1:26" x14ac:dyDescent="0.25">
      <c r="A19" s="6"/>
      <c r="B19" s="5" t="s">
        <v>99</v>
      </c>
      <c r="C19" t="s">
        <v>123</v>
      </c>
      <c r="D19" s="29">
        <f>B$2</f>
        <v>379.92081737296741</v>
      </c>
      <c r="E19" s="6">
        <f t="shared" si="3"/>
        <v>9809.9226249999992</v>
      </c>
      <c r="F19" s="6">
        <f t="shared" si="4"/>
        <v>9809.9226249999992</v>
      </c>
      <c r="Y19" s="6">
        <f t="shared" si="0"/>
        <v>19619.845249999998</v>
      </c>
      <c r="Z19" s="3">
        <f t="shared" si="1"/>
        <v>7453987.6441111313</v>
      </c>
    </row>
    <row r="20" spans="1:26" x14ac:dyDescent="0.25">
      <c r="A20" s="6"/>
      <c r="B20" s="5" t="s">
        <v>100</v>
      </c>
      <c r="C20" t="s">
        <v>112</v>
      </c>
      <c r="D20" s="29">
        <f>B$1</f>
        <v>960.07281326927591</v>
      </c>
      <c r="E20" s="6">
        <f t="shared" si="3"/>
        <v>9809.9226249999992</v>
      </c>
      <c r="F20" s="6">
        <f t="shared" si="4"/>
        <v>9809.9226249999992</v>
      </c>
      <c r="Y20" s="6">
        <f t="shared" si="0"/>
        <v>19619.845249999998</v>
      </c>
      <c r="Z20" s="3">
        <f t="shared" si="1"/>
        <v>18836480.025075339</v>
      </c>
    </row>
    <row r="21" spans="1:26" x14ac:dyDescent="0.25">
      <c r="A21" s="6"/>
      <c r="B21" s="5" t="s">
        <v>196</v>
      </c>
      <c r="C21" s="28">
        <v>1200</v>
      </c>
      <c r="D21" s="10">
        <f>+Parameters!$B$24+Parameters!$B$25</f>
        <v>2300</v>
      </c>
      <c r="E21" s="6"/>
      <c r="F21" s="6"/>
      <c r="Y21" s="6"/>
      <c r="Z21" s="3">
        <f>C21*D21</f>
        <v>2760000</v>
      </c>
    </row>
    <row r="22" spans="1:26" x14ac:dyDescent="0.25">
      <c r="A22" s="6"/>
      <c r="B22" t="s">
        <v>199</v>
      </c>
      <c r="E22" s="6"/>
      <c r="F22" s="6"/>
      <c r="Z22" s="10">
        <f>SUM(Z10:Z21)-Z15-Z14</f>
        <v>90941289.722959056</v>
      </c>
    </row>
    <row r="23" spans="1:26" x14ac:dyDescent="0.25">
      <c r="A23" s="6"/>
      <c r="B23" s="5" t="s">
        <v>198</v>
      </c>
      <c r="E23" s="6"/>
      <c r="F23" s="6"/>
      <c r="Z23" s="10">
        <f>SUM(Z10:Z21)-Z16</f>
        <v>93626750.554504678</v>
      </c>
    </row>
    <row r="24" spans="1:26" x14ac:dyDescent="0.25">
      <c r="A24" s="6"/>
      <c r="E24" s="6"/>
      <c r="F24" s="6"/>
    </row>
    <row r="25" spans="1:26" x14ac:dyDescent="0.25">
      <c r="A25" s="6" t="s">
        <v>116</v>
      </c>
      <c r="B25" t="s">
        <v>156</v>
      </c>
      <c r="D25" s="10">
        <f>$D$10</f>
        <v>427</v>
      </c>
      <c r="E25" s="6"/>
      <c r="F25" s="6"/>
      <c r="M25" s="6">
        <f>M27*1.2</f>
        <v>11771.907149999999</v>
      </c>
      <c r="N25" s="6">
        <f>1.2*N29</f>
        <v>11771.907149999999</v>
      </c>
      <c r="Y25" s="6">
        <f>M25+N25</f>
        <v>23543.814299999998</v>
      </c>
      <c r="Z25" s="3">
        <f>M25*$B$3+N25*$B$4</f>
        <v>7816546.3476</v>
      </c>
    </row>
    <row r="26" spans="1:26" x14ac:dyDescent="0.25">
      <c r="A26" s="6"/>
      <c r="B26" t="s">
        <v>195</v>
      </c>
      <c r="D26" s="10"/>
      <c r="E26" s="6"/>
      <c r="F26" s="6"/>
      <c r="M26" s="6">
        <f>$C$5*$C$6</f>
        <v>9575</v>
      </c>
      <c r="N26" s="6">
        <f>$C$5*(1-$C$6)</f>
        <v>9575</v>
      </c>
      <c r="Y26" s="6"/>
      <c r="Z26" s="3"/>
    </row>
    <row r="27" spans="1:26" x14ac:dyDescent="0.25">
      <c r="A27" s="6"/>
      <c r="B27" s="5" t="s">
        <v>94</v>
      </c>
      <c r="D27" s="10">
        <f>$D$12</f>
        <v>960.07281326927591</v>
      </c>
      <c r="G27" s="6">
        <f>+'Duncan fertility'!$O$4*$E$16</f>
        <v>773.63502301406243</v>
      </c>
      <c r="H27" s="6">
        <f>+'Duncan fertility'!$O$4*$E$16</f>
        <v>773.63502301406243</v>
      </c>
      <c r="M27" s="6">
        <f>(1++'Duncan fertility'!$O$3)*M26</f>
        <v>9809.9226249999992</v>
      </c>
      <c r="N27" s="6"/>
      <c r="Y27" s="6">
        <f t="shared" ref="Y27:Y37" si="5">SUM(E27:X27)</f>
        <v>11357.192671028124</v>
      </c>
      <c r="Z27" s="3">
        <f t="shared" ref="Z27:Z37" si="6">Y27*D27</f>
        <v>10903731.918515174</v>
      </c>
    </row>
    <row r="28" spans="1:26" x14ac:dyDescent="0.25">
      <c r="A28" s="6"/>
      <c r="B28" s="5" t="s">
        <v>95</v>
      </c>
      <c r="D28" s="10">
        <f>$D$13</f>
        <v>960.07281326927591</v>
      </c>
      <c r="G28" s="6">
        <f>$G$27</f>
        <v>773.63502301406243</v>
      </c>
      <c r="H28" s="6">
        <f>$H$27</f>
        <v>773.63502301406243</v>
      </c>
      <c r="M28" s="6">
        <f>M$27</f>
        <v>9809.9226249999992</v>
      </c>
      <c r="N28" s="6"/>
      <c r="Y28" s="6">
        <f t="shared" si="5"/>
        <v>11357.192671028124</v>
      </c>
      <c r="Z28" s="3">
        <f t="shared" si="6"/>
        <v>10903731.918515174</v>
      </c>
    </row>
    <row r="29" spans="1:26" x14ac:dyDescent="0.25">
      <c r="A29" s="6"/>
      <c r="B29" s="5" t="s">
        <v>96</v>
      </c>
      <c r="D29" s="10">
        <f>$D$14</f>
        <v>960.07281326927591</v>
      </c>
      <c r="G29" s="6"/>
      <c r="H29" s="6"/>
      <c r="M29" s="6"/>
      <c r="N29" s="6">
        <f>(1++'Duncan fertility'!$O$3)*N26</f>
        <v>9809.9226249999992</v>
      </c>
      <c r="Y29" s="6">
        <f t="shared" si="5"/>
        <v>9809.9226249999992</v>
      </c>
      <c r="Z29" s="3">
        <f t="shared" si="6"/>
        <v>9418240.0125376694</v>
      </c>
    </row>
    <row r="30" spans="1:26" x14ac:dyDescent="0.25">
      <c r="A30" s="6"/>
      <c r="B30" s="5" t="s">
        <v>197</v>
      </c>
      <c r="C30" s="10"/>
      <c r="D30" s="10">
        <f>$C$15</f>
        <v>214.99599999999998</v>
      </c>
      <c r="G30" s="6">
        <f t="shared" ref="G30:G35" si="7">$G$27</f>
        <v>773.63502301406243</v>
      </c>
      <c r="H30" s="6">
        <f t="shared" ref="H30:H35" si="8">$H$27</f>
        <v>773.63502301406243</v>
      </c>
      <c r="M30" s="6">
        <f t="shared" ref="M30:M35" si="9">M$27</f>
        <v>9809.9226249999992</v>
      </c>
      <c r="N30" s="6">
        <f t="shared" ref="N30:N35" si="10">N$29</f>
        <v>9809.9226249999992</v>
      </c>
      <c r="Y30" s="6">
        <f t="shared" ref="Y30" si="11">SUM(E30:X30)</f>
        <v>21167.115296028125</v>
      </c>
      <c r="Z30" s="3">
        <f>Y30*D30*$C$7</f>
        <v>2389193.6880970527</v>
      </c>
    </row>
    <row r="31" spans="1:26" x14ac:dyDescent="0.25">
      <c r="A31" s="6"/>
      <c r="B31" s="5" t="s">
        <v>200</v>
      </c>
      <c r="C31" t="s">
        <v>112</v>
      </c>
      <c r="D31" s="10">
        <f>$D$16</f>
        <v>960.07281326927591</v>
      </c>
      <c r="E31" s="6"/>
      <c r="F31" s="6"/>
      <c r="G31" s="6">
        <f t="shared" si="7"/>
        <v>773.63502301406243</v>
      </c>
      <c r="H31" s="6">
        <f t="shared" si="8"/>
        <v>773.63502301406243</v>
      </c>
      <c r="M31" s="6">
        <f t="shared" si="9"/>
        <v>9809.9226249999992</v>
      </c>
      <c r="N31" s="6">
        <f t="shared" si="10"/>
        <v>9809.9226249999992</v>
      </c>
      <c r="Y31" s="6">
        <f t="shared" si="5"/>
        <v>21167.115296028125</v>
      </c>
      <c r="Z31" s="3">
        <f>Y30*D31*(1-$C$7)</f>
        <v>9652936.6672501005</v>
      </c>
    </row>
    <row r="32" spans="1:26" x14ac:dyDescent="0.25">
      <c r="A32" s="6"/>
      <c r="B32" s="5" t="s">
        <v>97</v>
      </c>
      <c r="C32" t="s">
        <v>123</v>
      </c>
      <c r="D32" s="10">
        <f>$D$17</f>
        <v>379.92081737296741</v>
      </c>
      <c r="E32" s="6"/>
      <c r="F32" s="6"/>
      <c r="G32" s="6">
        <f t="shared" si="7"/>
        <v>773.63502301406243</v>
      </c>
      <c r="H32" s="6">
        <f t="shared" si="8"/>
        <v>773.63502301406243</v>
      </c>
      <c r="M32" s="6">
        <f t="shared" si="9"/>
        <v>9809.9226249999992</v>
      </c>
      <c r="N32" s="6">
        <f t="shared" si="10"/>
        <v>9809.9226249999992</v>
      </c>
      <c r="Y32" s="6">
        <f t="shared" si="5"/>
        <v>21167.115296028125</v>
      </c>
      <c r="Z32" s="3">
        <f t="shared" si="6"/>
        <v>8041827.7446948467</v>
      </c>
    </row>
    <row r="33" spans="1:26" x14ac:dyDescent="0.25">
      <c r="A33" s="6"/>
      <c r="B33" s="5" t="s">
        <v>98</v>
      </c>
      <c r="C33" t="s">
        <v>112</v>
      </c>
      <c r="D33" s="10">
        <f>$D$18</f>
        <v>960.07281326927591</v>
      </c>
      <c r="E33" s="6"/>
      <c r="F33" s="6"/>
      <c r="G33" s="6">
        <f t="shared" si="7"/>
        <v>773.63502301406243</v>
      </c>
      <c r="H33" s="6">
        <f t="shared" si="8"/>
        <v>773.63502301406243</v>
      </c>
      <c r="M33" s="6">
        <f t="shared" si="9"/>
        <v>9809.9226249999992</v>
      </c>
      <c r="N33" s="6">
        <f t="shared" si="10"/>
        <v>9809.9226249999992</v>
      </c>
      <c r="Y33" s="6">
        <f t="shared" si="5"/>
        <v>21167.115296028125</v>
      </c>
      <c r="Z33" s="3">
        <f t="shared" si="6"/>
        <v>20321971.931052845</v>
      </c>
    </row>
    <row r="34" spans="1:26" x14ac:dyDescent="0.25">
      <c r="A34" s="6"/>
      <c r="B34" s="5" t="s">
        <v>99</v>
      </c>
      <c r="C34" t="s">
        <v>123</v>
      </c>
      <c r="D34" s="10">
        <f>$D$19</f>
        <v>379.92081737296741</v>
      </c>
      <c r="E34" s="6"/>
      <c r="F34" s="6"/>
      <c r="G34" s="6">
        <f t="shared" si="7"/>
        <v>773.63502301406243</v>
      </c>
      <c r="H34" s="6">
        <f t="shared" si="8"/>
        <v>773.63502301406243</v>
      </c>
      <c r="M34" s="6">
        <f t="shared" si="9"/>
        <v>9809.9226249999992</v>
      </c>
      <c r="N34" s="6">
        <f t="shared" si="10"/>
        <v>9809.9226249999992</v>
      </c>
      <c r="Y34" s="6">
        <f t="shared" si="5"/>
        <v>21167.115296028125</v>
      </c>
      <c r="Z34" s="3">
        <f t="shared" si="6"/>
        <v>8041827.7446948467</v>
      </c>
    </row>
    <row r="35" spans="1:26" x14ac:dyDescent="0.25">
      <c r="A35" s="6"/>
      <c r="B35" s="5" t="s">
        <v>100</v>
      </c>
      <c r="C35" t="s">
        <v>112</v>
      </c>
      <c r="D35" s="10">
        <f>$D$20</f>
        <v>960.07281326927591</v>
      </c>
      <c r="E35" s="6"/>
      <c r="F35" s="6"/>
      <c r="G35" s="6">
        <f t="shared" si="7"/>
        <v>773.63502301406243</v>
      </c>
      <c r="H35" s="6">
        <f t="shared" si="8"/>
        <v>773.63502301406243</v>
      </c>
      <c r="M35" s="6">
        <f t="shared" si="9"/>
        <v>9809.9226249999992</v>
      </c>
      <c r="N35" s="6">
        <f t="shared" si="10"/>
        <v>9809.9226249999992</v>
      </c>
      <c r="Y35" s="6">
        <f t="shared" si="5"/>
        <v>21167.115296028125</v>
      </c>
      <c r="Z35" s="3">
        <f t="shared" si="6"/>
        <v>20321971.931052845</v>
      </c>
    </row>
    <row r="36" spans="1:26" x14ac:dyDescent="0.25">
      <c r="A36" s="6"/>
      <c r="B36" s="5" t="s">
        <v>104</v>
      </c>
      <c r="C36" t="s">
        <v>123</v>
      </c>
      <c r="D36" s="29">
        <f>B$2</f>
        <v>379.92081737296741</v>
      </c>
      <c r="E36" s="6">
        <f>E$12</f>
        <v>9809.9226249999992</v>
      </c>
      <c r="F36" s="6">
        <f>F$14</f>
        <v>9809.9226249999992</v>
      </c>
      <c r="G36" s="6"/>
      <c r="H36" s="6"/>
      <c r="Y36" s="6">
        <f t="shared" si="5"/>
        <v>19619.845249999998</v>
      </c>
      <c r="Z36" s="3">
        <f t="shared" si="6"/>
        <v>7453987.6441111313</v>
      </c>
    </row>
    <row r="37" spans="1:26" x14ac:dyDescent="0.25">
      <c r="A37" s="6"/>
      <c r="B37" s="5" t="s">
        <v>105</v>
      </c>
      <c r="C37" t="s">
        <v>112</v>
      </c>
      <c r="D37" s="29">
        <f>B$1</f>
        <v>960.07281326927591</v>
      </c>
      <c r="E37" s="6">
        <f>E$12</f>
        <v>9809.9226249999992</v>
      </c>
      <c r="F37" s="6">
        <f>F$14</f>
        <v>9809.9226249999992</v>
      </c>
      <c r="G37" s="6"/>
      <c r="H37" s="6"/>
      <c r="Y37" s="6">
        <f t="shared" si="5"/>
        <v>19619.845249999998</v>
      </c>
      <c r="Z37" s="3">
        <f t="shared" si="6"/>
        <v>18836480.025075339</v>
      </c>
    </row>
    <row r="38" spans="1:26" x14ac:dyDescent="0.25">
      <c r="A38" s="6"/>
      <c r="B38" s="5" t="s">
        <v>196</v>
      </c>
      <c r="C38" s="6">
        <f>C$21</f>
        <v>1200</v>
      </c>
      <c r="D38" s="10">
        <f>+Parameters!$B$24+Parameters!$B$25</f>
        <v>2300</v>
      </c>
      <c r="E38" s="6"/>
      <c r="F38" s="6"/>
      <c r="Y38" s="6"/>
      <c r="Z38" s="3">
        <f>C38*D38</f>
        <v>2760000</v>
      </c>
    </row>
    <row r="39" spans="1:26" x14ac:dyDescent="0.25">
      <c r="A39" s="6"/>
      <c r="B39" s="5" t="s">
        <v>128</v>
      </c>
      <c r="E39" s="6"/>
      <c r="F39" s="6"/>
      <c r="G39" s="6"/>
      <c r="H39" s="6"/>
      <c r="Z39" s="10">
        <f>SUM(Z25:Z38)</f>
        <v>136862447.57319704</v>
      </c>
    </row>
    <row r="40" spans="1:26" x14ac:dyDescent="0.25">
      <c r="A40" s="6"/>
      <c r="B40" s="5"/>
      <c r="E40" s="6"/>
      <c r="F40" s="6"/>
      <c r="G40" s="6"/>
      <c r="H40" s="6"/>
    </row>
    <row r="41" spans="1:26" x14ac:dyDescent="0.25">
      <c r="A41" s="6" t="s">
        <v>117</v>
      </c>
      <c r="B41" t="s">
        <v>156</v>
      </c>
      <c r="D41" s="10">
        <f>$D$10</f>
        <v>427</v>
      </c>
      <c r="E41" s="6"/>
      <c r="F41" s="6"/>
      <c r="G41" s="6"/>
      <c r="H41" s="6"/>
      <c r="S41" s="6">
        <f>1.2*S43</f>
        <v>11771.907149999999</v>
      </c>
      <c r="T41" s="6">
        <f>1.2*T45</f>
        <v>11771.907149999999</v>
      </c>
      <c r="Y41" s="6">
        <f>S41+T41</f>
        <v>23543.814299999998</v>
      </c>
      <c r="Z41" s="3">
        <f>S41*$B$3+T41*$B$4</f>
        <v>7816546.3476</v>
      </c>
    </row>
    <row r="42" spans="1:26" x14ac:dyDescent="0.25">
      <c r="A42" s="6"/>
      <c r="B42" t="s">
        <v>195</v>
      </c>
      <c r="D42" s="10"/>
      <c r="E42" s="6"/>
      <c r="F42" s="6"/>
      <c r="G42" s="6"/>
      <c r="H42" s="6"/>
      <c r="S42" s="6">
        <f>$C$5*$C$6</f>
        <v>9575</v>
      </c>
      <c r="T42" s="6">
        <f>$C$5*(1-$C$6)</f>
        <v>9575</v>
      </c>
      <c r="Y42" s="6"/>
      <c r="Z42" s="3"/>
    </row>
    <row r="43" spans="1:26" x14ac:dyDescent="0.25">
      <c r="A43" s="6"/>
      <c r="B43" s="5" t="s">
        <v>94</v>
      </c>
      <c r="D43" s="10">
        <f>$D$12</f>
        <v>960.07281326927591</v>
      </c>
      <c r="G43" s="6"/>
      <c r="H43" s="6"/>
      <c r="I43" s="6">
        <f>+'Duncan fertility'!O5*$E$16</f>
        <v>1193.1171243816875</v>
      </c>
      <c r="J43" s="6">
        <f>+'Duncan fertility'!O5*$F$16</f>
        <v>1193.1171243816875</v>
      </c>
      <c r="O43" s="6">
        <f>+'Duncan fertility'!$O$4*$M$27</f>
        <v>773.63502301406243</v>
      </c>
      <c r="P43" s="6">
        <f>+'Duncan fertility'!$O$4*$M$27</f>
        <v>773.63502301406243</v>
      </c>
      <c r="S43" s="6">
        <f>(1++'Duncan fertility'!$O$3)*S42</f>
        <v>9809.9226249999992</v>
      </c>
      <c r="T43" s="6"/>
      <c r="Y43" s="6">
        <f t="shared" ref="Y43:Y55" si="12">SUM(E43:X43)</f>
        <v>13743.426919791498</v>
      </c>
      <c r="Z43" s="3">
        <f t="shared" ref="Z43:Z55" si="13">Y43*D43</f>
        <v>13194690.546844922</v>
      </c>
    </row>
    <row r="44" spans="1:26" x14ac:dyDescent="0.25">
      <c r="A44" s="6"/>
      <c r="B44" s="5" t="s">
        <v>95</v>
      </c>
      <c r="D44" s="10">
        <f>$D$13</f>
        <v>960.07281326927591</v>
      </c>
      <c r="G44" s="6"/>
      <c r="H44" s="6"/>
      <c r="I44" s="6">
        <f>$I$43</f>
        <v>1193.1171243816875</v>
      </c>
      <c r="J44" s="6">
        <f t="shared" ref="J44:J51" si="14">$I$43</f>
        <v>1193.1171243816875</v>
      </c>
      <c r="O44" s="6">
        <f>+'Duncan fertility'!$O$4*$M$27</f>
        <v>773.63502301406243</v>
      </c>
      <c r="P44" s="6">
        <f>+'Duncan fertility'!$O$4*$M$27</f>
        <v>773.63502301406243</v>
      </c>
      <c r="S44" s="6">
        <f t="shared" ref="S44:S51" si="15">S$43</f>
        <v>9809.9226249999992</v>
      </c>
      <c r="T44" s="6"/>
      <c r="Y44" s="6">
        <f t="shared" si="12"/>
        <v>13743.426919791498</v>
      </c>
      <c r="Z44" s="3">
        <f t="shared" si="13"/>
        <v>13194690.546844922</v>
      </c>
    </row>
    <row r="45" spans="1:26" x14ac:dyDescent="0.25">
      <c r="A45" s="6"/>
      <c r="B45" s="5" t="s">
        <v>96</v>
      </c>
      <c r="D45" s="10">
        <f>$D$14</f>
        <v>960.07281326927591</v>
      </c>
      <c r="G45" s="6"/>
      <c r="H45" s="6"/>
      <c r="I45" s="6"/>
      <c r="J45" s="6"/>
      <c r="O45" s="6"/>
      <c r="P45" s="6"/>
      <c r="S45" s="6"/>
      <c r="T45" s="6">
        <f>(1++'Duncan fertility'!$O$3)*T42</f>
        <v>9809.9226249999992</v>
      </c>
      <c r="Y45" s="6">
        <f t="shared" si="12"/>
        <v>9809.9226249999992</v>
      </c>
      <c r="Z45" s="3">
        <f t="shared" si="13"/>
        <v>9418240.0125376694</v>
      </c>
    </row>
    <row r="46" spans="1:26" x14ac:dyDescent="0.25">
      <c r="A46" s="6"/>
      <c r="B46" s="5" t="s">
        <v>197</v>
      </c>
      <c r="C46" s="10"/>
      <c r="D46" s="10">
        <f>$C$15</f>
        <v>214.99599999999998</v>
      </c>
      <c r="G46" s="6"/>
      <c r="H46" s="6"/>
      <c r="I46" s="6">
        <f t="shared" ref="I46:I51" si="16">$I$43</f>
        <v>1193.1171243816875</v>
      </c>
      <c r="J46" s="6">
        <f t="shared" si="14"/>
        <v>1193.1171243816875</v>
      </c>
      <c r="O46" s="6">
        <f>+'Duncan fertility'!$O$4*$M$27</f>
        <v>773.63502301406243</v>
      </c>
      <c r="P46" s="6">
        <f>+'Duncan fertility'!$O$4*$M$27</f>
        <v>773.63502301406243</v>
      </c>
      <c r="S46" s="6">
        <f t="shared" si="15"/>
        <v>9809.9226249999992</v>
      </c>
      <c r="T46" s="6">
        <f t="shared" ref="T46:T51" si="17">T$45</f>
        <v>9809.9226249999992</v>
      </c>
      <c r="Y46" s="6">
        <f t="shared" ref="Y46" si="18">SUM(E46:X46)</f>
        <v>23553.349544791497</v>
      </c>
      <c r="Z46" s="3">
        <f>Y46*D46*$C$7</f>
        <v>2658534.8678342961</v>
      </c>
    </row>
    <row r="47" spans="1:26" x14ac:dyDescent="0.25">
      <c r="A47" s="6"/>
      <c r="B47" s="5" t="s">
        <v>200</v>
      </c>
      <c r="C47" t="s">
        <v>112</v>
      </c>
      <c r="D47" s="10">
        <f>$D$16</f>
        <v>960.07281326927591</v>
      </c>
      <c r="E47" s="6"/>
      <c r="F47" s="6"/>
      <c r="G47" s="6"/>
      <c r="H47" s="6"/>
      <c r="I47" s="6">
        <f t="shared" si="16"/>
        <v>1193.1171243816875</v>
      </c>
      <c r="J47" s="6">
        <f t="shared" si="14"/>
        <v>1193.1171243816875</v>
      </c>
      <c r="O47" s="6">
        <f>+'Duncan fertility'!$O$4*$M$27</f>
        <v>773.63502301406243</v>
      </c>
      <c r="P47" s="6">
        <f>+'Duncan fertility'!$O$4*$M$27</f>
        <v>773.63502301406243</v>
      </c>
      <c r="S47" s="6">
        <f t="shared" si="15"/>
        <v>9809.9226249999992</v>
      </c>
      <c r="T47" s="6">
        <f t="shared" si="17"/>
        <v>9809.9226249999992</v>
      </c>
      <c r="Y47" s="6">
        <f t="shared" si="12"/>
        <v>23553.349544791497</v>
      </c>
      <c r="Z47" s="3">
        <f>Y46*D47*(1-$C$7)</f>
        <v>10741142.015706731</v>
      </c>
    </row>
    <row r="48" spans="1:26" x14ac:dyDescent="0.25">
      <c r="A48" s="6"/>
      <c r="B48" s="5" t="s">
        <v>97</v>
      </c>
      <c r="C48" t="s">
        <v>123</v>
      </c>
      <c r="D48" s="10">
        <f>$D$17</f>
        <v>379.92081737296741</v>
      </c>
      <c r="E48" s="6"/>
      <c r="F48" s="6"/>
      <c r="G48" s="6"/>
      <c r="H48" s="6"/>
      <c r="I48" s="6">
        <f t="shared" si="16"/>
        <v>1193.1171243816875</v>
      </c>
      <c r="J48" s="6">
        <f t="shared" si="14"/>
        <v>1193.1171243816875</v>
      </c>
      <c r="O48" s="6">
        <f>+'Duncan fertility'!$O$4*$M$27</f>
        <v>773.63502301406243</v>
      </c>
      <c r="P48" s="6">
        <f>+'Duncan fertility'!$O$4*$M$27</f>
        <v>773.63502301406243</v>
      </c>
      <c r="S48" s="6">
        <f t="shared" si="15"/>
        <v>9809.9226249999992</v>
      </c>
      <c r="T48" s="6">
        <f t="shared" si="17"/>
        <v>9809.9226249999992</v>
      </c>
      <c r="Y48" s="6">
        <f t="shared" si="12"/>
        <v>23553.349544791497</v>
      </c>
      <c r="Z48" s="3">
        <f t="shared" si="13"/>
        <v>8948407.810928395</v>
      </c>
    </row>
    <row r="49" spans="1:26" x14ac:dyDescent="0.25">
      <c r="A49" s="6"/>
      <c r="B49" s="5" t="s">
        <v>98</v>
      </c>
      <c r="C49" t="s">
        <v>112</v>
      </c>
      <c r="D49" s="10">
        <f>$D$18</f>
        <v>960.07281326927591</v>
      </c>
      <c r="E49" s="6"/>
      <c r="F49" s="6"/>
      <c r="G49" s="6"/>
      <c r="H49" s="6"/>
      <c r="I49" s="6">
        <f t="shared" si="16"/>
        <v>1193.1171243816875</v>
      </c>
      <c r="J49" s="6">
        <f t="shared" si="14"/>
        <v>1193.1171243816875</v>
      </c>
      <c r="O49" s="6">
        <f>+'Duncan fertility'!$O$4*$M$27</f>
        <v>773.63502301406243</v>
      </c>
      <c r="P49" s="6">
        <f>+'Duncan fertility'!$O$4*$M$27</f>
        <v>773.63502301406243</v>
      </c>
      <c r="S49" s="6">
        <f t="shared" si="15"/>
        <v>9809.9226249999992</v>
      </c>
      <c r="T49" s="6">
        <f t="shared" si="17"/>
        <v>9809.9226249999992</v>
      </c>
      <c r="Y49" s="6">
        <f t="shared" si="12"/>
        <v>23553.349544791497</v>
      </c>
      <c r="Z49" s="3">
        <f t="shared" si="13"/>
        <v>22612930.559382591</v>
      </c>
    </row>
    <row r="50" spans="1:26" x14ac:dyDescent="0.25">
      <c r="A50" s="6"/>
      <c r="B50" s="5" t="s">
        <v>99</v>
      </c>
      <c r="C50" t="s">
        <v>123</v>
      </c>
      <c r="D50" s="10">
        <f>$D$19</f>
        <v>379.92081737296741</v>
      </c>
      <c r="E50" s="6"/>
      <c r="F50" s="6"/>
      <c r="G50" s="6"/>
      <c r="H50" s="6"/>
      <c r="I50" s="6">
        <f t="shared" si="16"/>
        <v>1193.1171243816875</v>
      </c>
      <c r="J50" s="6">
        <f t="shared" si="14"/>
        <v>1193.1171243816875</v>
      </c>
      <c r="O50" s="6">
        <f>+'Duncan fertility'!$O$4*$M$27</f>
        <v>773.63502301406243</v>
      </c>
      <c r="P50" s="6">
        <f>+'Duncan fertility'!$O$4*$M$27</f>
        <v>773.63502301406243</v>
      </c>
      <c r="S50" s="6">
        <f t="shared" si="15"/>
        <v>9809.9226249999992</v>
      </c>
      <c r="T50" s="6">
        <f t="shared" si="17"/>
        <v>9809.9226249999992</v>
      </c>
      <c r="Y50" s="6">
        <f t="shared" si="12"/>
        <v>23553.349544791497</v>
      </c>
      <c r="Z50" s="3">
        <f t="shared" si="13"/>
        <v>8948407.810928395</v>
      </c>
    </row>
    <row r="51" spans="1:26" x14ac:dyDescent="0.25">
      <c r="A51" s="6"/>
      <c r="B51" s="5" t="s">
        <v>100</v>
      </c>
      <c r="C51" t="s">
        <v>112</v>
      </c>
      <c r="D51" s="10">
        <f>$D$20</f>
        <v>960.07281326927591</v>
      </c>
      <c r="E51" s="6"/>
      <c r="F51" s="6"/>
      <c r="G51" s="6"/>
      <c r="H51" s="6"/>
      <c r="I51" s="6">
        <f t="shared" si="16"/>
        <v>1193.1171243816875</v>
      </c>
      <c r="J51" s="6">
        <f t="shared" si="14"/>
        <v>1193.1171243816875</v>
      </c>
      <c r="O51" s="6">
        <f>+'Duncan fertility'!$O$4*$M$27</f>
        <v>773.63502301406243</v>
      </c>
      <c r="P51" s="6">
        <f>+'Duncan fertility'!$O$4*$M$27</f>
        <v>773.63502301406243</v>
      </c>
      <c r="S51" s="6">
        <f t="shared" si="15"/>
        <v>9809.9226249999992</v>
      </c>
      <c r="T51" s="6">
        <f t="shared" si="17"/>
        <v>9809.9226249999992</v>
      </c>
      <c r="Y51" s="6">
        <f t="shared" si="12"/>
        <v>23553.349544791497</v>
      </c>
      <c r="Z51" s="3">
        <f t="shared" si="13"/>
        <v>22612930.559382591</v>
      </c>
    </row>
    <row r="52" spans="1:26" x14ac:dyDescent="0.25">
      <c r="A52" s="6"/>
      <c r="B52" s="5" t="s">
        <v>104</v>
      </c>
      <c r="C52" t="s">
        <v>123</v>
      </c>
      <c r="D52" s="10">
        <f>$D$36</f>
        <v>379.92081737296741</v>
      </c>
      <c r="E52" s="6"/>
      <c r="F52" s="6"/>
      <c r="G52" s="6">
        <f>$G$27</f>
        <v>773.63502301406243</v>
      </c>
      <c r="H52" s="6">
        <f>$H$27</f>
        <v>773.63502301406243</v>
      </c>
      <c r="M52" s="6">
        <f>M$27</f>
        <v>9809.9226249999992</v>
      </c>
      <c r="N52" s="6">
        <f>N$29</f>
        <v>9809.9226249999992</v>
      </c>
      <c r="S52" s="6"/>
      <c r="T52" s="6"/>
      <c r="Y52" s="6">
        <f t="shared" si="12"/>
        <v>21167.115296028125</v>
      </c>
      <c r="Z52" s="3">
        <f t="shared" si="13"/>
        <v>8041827.7446948467</v>
      </c>
    </row>
    <row r="53" spans="1:26" x14ac:dyDescent="0.25">
      <c r="A53" s="6"/>
      <c r="B53" s="5" t="s">
        <v>105</v>
      </c>
      <c r="C53" t="s">
        <v>112</v>
      </c>
      <c r="D53" s="10">
        <f>$D$37</f>
        <v>960.07281326927591</v>
      </c>
      <c r="E53" s="6"/>
      <c r="F53" s="6"/>
      <c r="G53" s="6">
        <f>$G$27</f>
        <v>773.63502301406243</v>
      </c>
      <c r="H53" s="6">
        <f>$H$27</f>
        <v>773.63502301406243</v>
      </c>
      <c r="M53" s="6">
        <f>M$27</f>
        <v>9809.9226249999992</v>
      </c>
      <c r="N53" s="6">
        <f>N$29</f>
        <v>9809.9226249999992</v>
      </c>
      <c r="S53" s="6"/>
      <c r="T53" s="6"/>
      <c r="Y53" s="6">
        <f t="shared" si="12"/>
        <v>21167.115296028125</v>
      </c>
      <c r="Z53" s="3">
        <f t="shared" si="13"/>
        <v>20321971.931052845</v>
      </c>
    </row>
    <row r="54" spans="1:26" x14ac:dyDescent="0.25">
      <c r="A54" s="6"/>
      <c r="B54" s="5" t="s">
        <v>106</v>
      </c>
      <c r="C54" t="s">
        <v>123</v>
      </c>
      <c r="D54" s="29">
        <f>B$2</f>
        <v>379.92081737296741</v>
      </c>
      <c r="E54" s="6">
        <f>E$12</f>
        <v>9809.9226249999992</v>
      </c>
      <c r="F54" s="6">
        <f>F$14</f>
        <v>9809.9226249999992</v>
      </c>
      <c r="G54" s="6"/>
      <c r="H54" s="6"/>
      <c r="S54" s="6"/>
      <c r="T54" s="6"/>
      <c r="Y54" s="6">
        <f t="shared" si="12"/>
        <v>19619.845249999998</v>
      </c>
      <c r="Z54" s="3">
        <f t="shared" si="13"/>
        <v>7453987.6441111313</v>
      </c>
    </row>
    <row r="55" spans="1:26" x14ac:dyDescent="0.25">
      <c r="A55" s="6"/>
      <c r="B55" s="5" t="s">
        <v>107</v>
      </c>
      <c r="C55" t="s">
        <v>112</v>
      </c>
      <c r="D55" s="29">
        <f>B$1</f>
        <v>960.07281326927591</v>
      </c>
      <c r="E55" s="6">
        <f>E$12</f>
        <v>9809.9226249999992</v>
      </c>
      <c r="F55" s="6">
        <f>F$14</f>
        <v>9809.9226249999992</v>
      </c>
      <c r="G55" s="6"/>
      <c r="H55" s="6"/>
      <c r="S55" s="6"/>
      <c r="T55" s="6"/>
      <c r="Y55" s="6">
        <f t="shared" si="12"/>
        <v>19619.845249999998</v>
      </c>
      <c r="Z55" s="3">
        <f t="shared" si="13"/>
        <v>18836480.025075339</v>
      </c>
    </row>
    <row r="56" spans="1:26" x14ac:dyDescent="0.25">
      <c r="A56" s="6"/>
      <c r="B56" s="5" t="s">
        <v>196</v>
      </c>
      <c r="C56" s="6">
        <f>C$21</f>
        <v>1200</v>
      </c>
      <c r="D56" s="10">
        <f>+Parameters!$B$24+Parameters!$B$25</f>
        <v>2300</v>
      </c>
      <c r="E56" s="6"/>
      <c r="F56" s="6"/>
      <c r="Y56" s="6"/>
      <c r="Z56" s="3">
        <f>C56*D56</f>
        <v>2760000</v>
      </c>
    </row>
    <row r="57" spans="1:26" x14ac:dyDescent="0.25">
      <c r="A57" s="6"/>
      <c r="B57" s="5" t="s">
        <v>129</v>
      </c>
      <c r="E57" s="6"/>
      <c r="F57" s="6"/>
      <c r="G57" s="6"/>
      <c r="H57" s="6"/>
      <c r="S57" s="6"/>
      <c r="T57" s="6"/>
      <c r="Z57" s="10">
        <f>SUM(Z41:Z56)</f>
        <v>177560788.42292467</v>
      </c>
    </row>
    <row r="58" spans="1:26" x14ac:dyDescent="0.25">
      <c r="A58" s="6"/>
      <c r="B58" s="5"/>
      <c r="E58" s="6"/>
      <c r="F58" s="6"/>
      <c r="G58" s="6"/>
      <c r="H58" s="6"/>
      <c r="S58" s="6"/>
      <c r="T58" s="6"/>
    </row>
    <row r="59" spans="1:26" x14ac:dyDescent="0.25">
      <c r="A59" s="6" t="s">
        <v>118</v>
      </c>
      <c r="B59" t="s">
        <v>156</v>
      </c>
      <c r="D59" s="10">
        <f>$D$10</f>
        <v>427</v>
      </c>
      <c r="E59" s="6"/>
      <c r="F59" s="6"/>
      <c r="G59" s="6"/>
      <c r="H59" s="6"/>
      <c r="S59" s="6"/>
      <c r="T59" s="6"/>
      <c r="W59" s="6">
        <f>1.2*W$61</f>
        <v>11771.907149999999</v>
      </c>
      <c r="X59" s="6">
        <f>1.2*X$63</f>
        <v>11771.907149999999</v>
      </c>
      <c r="Y59" s="6">
        <f>W59+X59</f>
        <v>23543.814299999998</v>
      </c>
      <c r="Z59" s="3">
        <f>W59*$B$3+X59*$B$4</f>
        <v>7816546.3476</v>
      </c>
    </row>
    <row r="60" spans="1:26" x14ac:dyDescent="0.25">
      <c r="A60" s="6"/>
      <c r="B60" t="s">
        <v>195</v>
      </c>
      <c r="D60" s="10"/>
      <c r="E60" s="6"/>
      <c r="F60" s="6"/>
      <c r="G60" s="6"/>
      <c r="H60" s="6"/>
      <c r="S60" s="6"/>
      <c r="T60" s="6"/>
      <c r="W60" s="6">
        <f>$C$5*$C$6</f>
        <v>9575</v>
      </c>
      <c r="X60" s="6">
        <f>$C$5*(1-$C$6)</f>
        <v>9575</v>
      </c>
      <c r="Y60" s="6"/>
      <c r="Z60" s="3"/>
    </row>
    <row r="61" spans="1:26" x14ac:dyDescent="0.25">
      <c r="A61" s="6"/>
      <c r="B61" s="5" t="s">
        <v>94</v>
      </c>
      <c r="D61" s="10">
        <f>$D$12</f>
        <v>960.07281326927591</v>
      </c>
      <c r="G61" s="6"/>
      <c r="H61" s="6"/>
      <c r="K61" s="6">
        <f>+'Duncan fertility'!$O$6*$E$16</f>
        <v>1014.3214746184375</v>
      </c>
      <c r="L61" s="6">
        <f>+'Duncan fertility'!$O$6*$F$16</f>
        <v>1014.3214746184375</v>
      </c>
      <c r="Q61" s="6">
        <f>+'Duncan fertility'!$O$5*$M$27</f>
        <v>1193.1171243816875</v>
      </c>
      <c r="R61" s="6">
        <f>+'Duncan fertility'!$O$5*$M$27</f>
        <v>1193.1171243816875</v>
      </c>
      <c r="S61" s="6"/>
      <c r="T61" s="6"/>
      <c r="U61" s="6">
        <f>+'Duncan fertility'!$O$4*S$43</f>
        <v>773.63502301406243</v>
      </c>
      <c r="V61" s="6">
        <f>+'Duncan fertility'!$O$4*T$45</f>
        <v>773.63502301406243</v>
      </c>
      <c r="W61" s="6">
        <f>(1++'Duncan fertility'!$O$3)*W60</f>
        <v>9809.9226249999992</v>
      </c>
      <c r="X61" s="6"/>
      <c r="Y61" s="6">
        <f t="shared" ref="Y61:Y75" si="19">SUM(E61:X61)</f>
        <v>15772.069869028373</v>
      </c>
      <c r="Z61" s="3">
        <f t="shared" ref="Z61:Z75" si="20">Y61*D61</f>
        <v>15142335.490237651</v>
      </c>
    </row>
    <row r="62" spans="1:26" x14ac:dyDescent="0.25">
      <c r="A62" s="6"/>
      <c r="B62" s="5" t="s">
        <v>95</v>
      </c>
      <c r="D62" s="10">
        <f>$D$13</f>
        <v>960.07281326927591</v>
      </c>
      <c r="G62" s="6"/>
      <c r="H62" s="6"/>
      <c r="K62" s="6">
        <f>+'Duncan fertility'!$O$6*$E$16</f>
        <v>1014.3214746184375</v>
      </c>
      <c r="L62" s="6">
        <f>+'Duncan fertility'!$O$6*$F$16</f>
        <v>1014.3214746184375</v>
      </c>
      <c r="Q62" s="6">
        <f>+'Duncan fertility'!$O$5*$M$27</f>
        <v>1193.1171243816875</v>
      </c>
      <c r="R62" s="6">
        <f>+'Duncan fertility'!$O$5*$M$27</f>
        <v>1193.1171243816875</v>
      </c>
      <c r="S62" s="6"/>
      <c r="T62" s="6"/>
      <c r="U62" s="6">
        <f>+'Duncan fertility'!$O$4*S$43</f>
        <v>773.63502301406243</v>
      </c>
      <c r="V62" s="6">
        <f>+'Duncan fertility'!$O$4*T$45</f>
        <v>773.63502301406243</v>
      </c>
      <c r="W62" s="6">
        <f>W$61</f>
        <v>9809.9226249999992</v>
      </c>
      <c r="X62" s="6"/>
      <c r="Y62" s="6">
        <f t="shared" si="19"/>
        <v>15772.069869028373</v>
      </c>
      <c r="Z62" s="3">
        <f t="shared" si="20"/>
        <v>15142335.490237651</v>
      </c>
    </row>
    <row r="63" spans="1:26" x14ac:dyDescent="0.25">
      <c r="A63" s="6"/>
      <c r="B63" s="5" t="s">
        <v>96</v>
      </c>
      <c r="D63" s="10">
        <f>$D$14</f>
        <v>960.07281326927591</v>
      </c>
      <c r="G63" s="6"/>
      <c r="H63" s="6"/>
      <c r="Q63" s="6"/>
      <c r="R63" s="6"/>
      <c r="S63" s="6"/>
      <c r="T63" s="6"/>
      <c r="U63" s="6"/>
      <c r="V63" s="6"/>
      <c r="W63" s="6"/>
      <c r="X63" s="6">
        <f>(1++'Duncan fertility'!$O$3)*X60</f>
        <v>9809.9226249999992</v>
      </c>
      <c r="Y63" s="6">
        <f t="shared" si="19"/>
        <v>9809.9226249999992</v>
      </c>
      <c r="Z63" s="3">
        <f t="shared" si="20"/>
        <v>9418240.0125376694</v>
      </c>
    </row>
    <row r="64" spans="1:26" x14ac:dyDescent="0.25">
      <c r="A64" s="6"/>
      <c r="B64" s="5" t="s">
        <v>197</v>
      </c>
      <c r="C64" s="10"/>
      <c r="D64" s="10">
        <f>$C$15</f>
        <v>214.99599999999998</v>
      </c>
      <c r="G64" s="6"/>
      <c r="H64" s="6"/>
      <c r="K64" s="6">
        <f>+'Duncan fertility'!$O$6*$E$16</f>
        <v>1014.3214746184375</v>
      </c>
      <c r="L64" s="6">
        <f>+'Duncan fertility'!$O$6*$F$16</f>
        <v>1014.3214746184375</v>
      </c>
      <c r="Q64" s="6">
        <f>+'Duncan fertility'!$O$5*$M$27</f>
        <v>1193.1171243816875</v>
      </c>
      <c r="R64" s="6">
        <f>+'Duncan fertility'!$O$5*$M$27</f>
        <v>1193.1171243816875</v>
      </c>
      <c r="S64" s="6"/>
      <c r="T64" s="6"/>
      <c r="U64" s="6">
        <f>+'Duncan fertility'!$O$4*S$43</f>
        <v>773.63502301406243</v>
      </c>
      <c r="V64" s="6">
        <f>+'Duncan fertility'!$O$4*T$45</f>
        <v>773.63502301406243</v>
      </c>
      <c r="W64" s="6">
        <f t="shared" ref="W64:W69" si="21">W$61</f>
        <v>9809.9226249999992</v>
      </c>
      <c r="X64" s="6">
        <f t="shared" ref="X64:X69" si="22">X$63</f>
        <v>9809.9226249999992</v>
      </c>
      <c r="Y64" s="6">
        <f t="shared" ref="Y64" si="23">SUM(E64:X64)</f>
        <v>25581.992494028374</v>
      </c>
      <c r="Z64" s="3">
        <f>Y64*D64*$C$7</f>
        <v>2887513.6805792148</v>
      </c>
    </row>
    <row r="65" spans="1:26" x14ac:dyDescent="0.25">
      <c r="A65" s="6"/>
      <c r="B65" s="5" t="s">
        <v>200</v>
      </c>
      <c r="C65" t="s">
        <v>112</v>
      </c>
      <c r="D65" s="10">
        <f>$D$16</f>
        <v>960.07281326927591</v>
      </c>
      <c r="E65" s="6"/>
      <c r="F65" s="6"/>
      <c r="G65" s="6"/>
      <c r="H65" s="6"/>
      <c r="K65" s="6">
        <f>+'Duncan fertility'!$O$6*$E$16</f>
        <v>1014.3214746184375</v>
      </c>
      <c r="L65" s="6">
        <f>+'Duncan fertility'!$O$6*$F$16</f>
        <v>1014.3214746184375</v>
      </c>
      <c r="Q65" s="6">
        <f>+'Duncan fertility'!$O$5*$M$27</f>
        <v>1193.1171243816875</v>
      </c>
      <c r="R65" s="6">
        <f>+'Duncan fertility'!$O$5*$M$27</f>
        <v>1193.1171243816875</v>
      </c>
      <c r="S65" s="6"/>
      <c r="T65" s="6"/>
      <c r="U65" s="6">
        <f>+'Duncan fertility'!$O$4*S$43</f>
        <v>773.63502301406243</v>
      </c>
      <c r="V65" s="6">
        <f>+'Duncan fertility'!$O$4*T$45</f>
        <v>773.63502301406243</v>
      </c>
      <c r="W65" s="6">
        <f t="shared" si="21"/>
        <v>9809.9226249999992</v>
      </c>
      <c r="X65" s="6">
        <f t="shared" si="22"/>
        <v>9809.9226249999992</v>
      </c>
      <c r="Y65" s="6">
        <f t="shared" si="19"/>
        <v>25581.992494028374</v>
      </c>
      <c r="Z65" s="3">
        <f>Y64*D65*(1-$C$7)</f>
        <v>11666273.363818279</v>
      </c>
    </row>
    <row r="66" spans="1:26" x14ac:dyDescent="0.25">
      <c r="A66" s="6"/>
      <c r="B66" s="5" t="s">
        <v>97</v>
      </c>
      <c r="C66" t="s">
        <v>123</v>
      </c>
      <c r="D66" s="10">
        <f>$D$17</f>
        <v>379.92081737296741</v>
      </c>
      <c r="E66" s="6"/>
      <c r="F66" s="6"/>
      <c r="G66" s="6"/>
      <c r="H66" s="6"/>
      <c r="K66" s="6">
        <f>+'Duncan fertility'!$O$6*$E$16</f>
        <v>1014.3214746184375</v>
      </c>
      <c r="L66" s="6">
        <f>+'Duncan fertility'!$O$6*$F$16</f>
        <v>1014.3214746184375</v>
      </c>
      <c r="Q66" s="6">
        <f>+'Duncan fertility'!$O$5*$M$27</f>
        <v>1193.1171243816875</v>
      </c>
      <c r="R66" s="6">
        <f>+'Duncan fertility'!$O$5*$M$27</f>
        <v>1193.1171243816875</v>
      </c>
      <c r="S66" s="6"/>
      <c r="T66" s="6"/>
      <c r="U66" s="6">
        <f>+'Duncan fertility'!$O$4*S$43</f>
        <v>773.63502301406243</v>
      </c>
      <c r="V66" s="6">
        <f>+'Duncan fertility'!$O$4*T$45</f>
        <v>773.63502301406243</v>
      </c>
      <c r="W66" s="6">
        <f t="shared" si="21"/>
        <v>9809.9226249999992</v>
      </c>
      <c r="X66" s="6">
        <f t="shared" si="22"/>
        <v>9809.9226249999992</v>
      </c>
      <c r="Y66" s="6">
        <f t="shared" si="19"/>
        <v>25581.992494028374</v>
      </c>
      <c r="Z66" s="3">
        <f t="shared" si="20"/>
        <v>9719131.4983603768</v>
      </c>
    </row>
    <row r="67" spans="1:26" x14ac:dyDescent="0.25">
      <c r="A67" s="6"/>
      <c r="B67" s="5" t="s">
        <v>98</v>
      </c>
      <c r="C67" t="s">
        <v>112</v>
      </c>
      <c r="D67" s="10">
        <f>$D$18</f>
        <v>960.07281326927591</v>
      </c>
      <c r="E67" s="6"/>
      <c r="F67" s="6"/>
      <c r="G67" s="6"/>
      <c r="H67" s="6"/>
      <c r="K67" s="6">
        <f>+'Duncan fertility'!$O$6*$E$16</f>
        <v>1014.3214746184375</v>
      </c>
      <c r="L67" s="6">
        <f>+'Duncan fertility'!$O$6*$F$16</f>
        <v>1014.3214746184375</v>
      </c>
      <c r="Q67" s="6">
        <f>+'Duncan fertility'!$O$5*$M$27</f>
        <v>1193.1171243816875</v>
      </c>
      <c r="R67" s="6">
        <f>+'Duncan fertility'!$O$5*$M$27</f>
        <v>1193.1171243816875</v>
      </c>
      <c r="S67" s="6"/>
      <c r="T67" s="6"/>
      <c r="U67" s="6">
        <f>+'Duncan fertility'!$O$4*S$43</f>
        <v>773.63502301406243</v>
      </c>
      <c r="V67" s="6">
        <f>+'Duncan fertility'!$O$4*T$45</f>
        <v>773.63502301406243</v>
      </c>
      <c r="W67" s="6">
        <f t="shared" si="21"/>
        <v>9809.9226249999992</v>
      </c>
      <c r="X67" s="6">
        <f t="shared" si="22"/>
        <v>9809.9226249999992</v>
      </c>
      <c r="Y67" s="6">
        <f t="shared" si="19"/>
        <v>25581.992494028374</v>
      </c>
      <c r="Z67" s="3">
        <f t="shared" si="20"/>
        <v>24560575.502775323</v>
      </c>
    </row>
    <row r="68" spans="1:26" x14ac:dyDescent="0.25">
      <c r="A68" s="6"/>
      <c r="B68" s="5" t="s">
        <v>99</v>
      </c>
      <c r="C68" t="s">
        <v>123</v>
      </c>
      <c r="D68" s="10">
        <f>$D$19</f>
        <v>379.92081737296741</v>
      </c>
      <c r="E68" s="6"/>
      <c r="F68" s="6"/>
      <c r="G68" s="6"/>
      <c r="H68" s="6"/>
      <c r="K68" s="6">
        <f>+'Duncan fertility'!$O$6*$E$16</f>
        <v>1014.3214746184375</v>
      </c>
      <c r="L68" s="6">
        <f>+'Duncan fertility'!$O$6*$F$16</f>
        <v>1014.3214746184375</v>
      </c>
      <c r="Q68" s="6">
        <f>+'Duncan fertility'!$O$5*$M$27</f>
        <v>1193.1171243816875</v>
      </c>
      <c r="R68" s="6">
        <f>+'Duncan fertility'!$O$5*$M$27</f>
        <v>1193.1171243816875</v>
      </c>
      <c r="S68" s="6"/>
      <c r="T68" s="6"/>
      <c r="U68" s="6">
        <f>+'Duncan fertility'!$O$4*S$43</f>
        <v>773.63502301406243</v>
      </c>
      <c r="V68" s="6">
        <f>+'Duncan fertility'!$O$4*T$45</f>
        <v>773.63502301406243</v>
      </c>
      <c r="W68" s="6">
        <f t="shared" si="21"/>
        <v>9809.9226249999992</v>
      </c>
      <c r="X68" s="6">
        <f t="shared" si="22"/>
        <v>9809.9226249999992</v>
      </c>
      <c r="Y68" s="6">
        <f t="shared" si="19"/>
        <v>25581.992494028374</v>
      </c>
      <c r="Z68" s="3">
        <f t="shared" si="20"/>
        <v>9719131.4983603768</v>
      </c>
    </row>
    <row r="69" spans="1:26" x14ac:dyDescent="0.25">
      <c r="A69" s="6"/>
      <c r="B69" s="5" t="s">
        <v>100</v>
      </c>
      <c r="C69" t="s">
        <v>112</v>
      </c>
      <c r="D69" s="10">
        <f>$D$20</f>
        <v>960.07281326927591</v>
      </c>
      <c r="E69" s="6"/>
      <c r="F69" s="6"/>
      <c r="G69" s="6"/>
      <c r="H69" s="6"/>
      <c r="K69" s="6">
        <f>+'Duncan fertility'!$O$6*$E$16</f>
        <v>1014.3214746184375</v>
      </c>
      <c r="L69" s="6">
        <f>+'Duncan fertility'!$O$6*$F$16</f>
        <v>1014.3214746184375</v>
      </c>
      <c r="Q69" s="6">
        <f>+'Duncan fertility'!$O$5*$M$27</f>
        <v>1193.1171243816875</v>
      </c>
      <c r="R69" s="6">
        <f>+'Duncan fertility'!$O$5*$M$27</f>
        <v>1193.1171243816875</v>
      </c>
      <c r="S69" s="6"/>
      <c r="T69" s="6"/>
      <c r="U69" s="6">
        <f>+'Duncan fertility'!$O$4*S$43</f>
        <v>773.63502301406243</v>
      </c>
      <c r="V69" s="6">
        <f>+'Duncan fertility'!$O$4*T$45</f>
        <v>773.63502301406243</v>
      </c>
      <c r="W69" s="6">
        <f t="shared" si="21"/>
        <v>9809.9226249999992</v>
      </c>
      <c r="X69" s="6">
        <f t="shared" si="22"/>
        <v>9809.9226249999992</v>
      </c>
      <c r="Y69" s="6">
        <f t="shared" si="19"/>
        <v>25581.992494028374</v>
      </c>
      <c r="Z69" s="3">
        <f t="shared" si="20"/>
        <v>24560575.502775323</v>
      </c>
    </row>
    <row r="70" spans="1:26" x14ac:dyDescent="0.25">
      <c r="A70" s="6"/>
      <c r="B70" s="5" t="s">
        <v>104</v>
      </c>
      <c r="C70" t="s">
        <v>123</v>
      </c>
      <c r="D70" s="10">
        <f>$D$36</f>
        <v>379.92081737296741</v>
      </c>
      <c r="E70" s="6"/>
      <c r="F70" s="6"/>
      <c r="G70" s="6"/>
      <c r="H70" s="6"/>
      <c r="I70" s="6">
        <f>$I$43</f>
        <v>1193.1171243816875</v>
      </c>
      <c r="J70" s="6">
        <f>$I$43</f>
        <v>1193.1171243816875</v>
      </c>
      <c r="O70" s="6">
        <f>0.09*$M$27</f>
        <v>882.89303624999991</v>
      </c>
      <c r="P70" s="6">
        <f>0.09*$N$29</f>
        <v>882.89303624999991</v>
      </c>
      <c r="S70" s="6">
        <f>S$43</f>
        <v>9809.9226249999992</v>
      </c>
      <c r="T70" s="6">
        <f>T$45</f>
        <v>9809.9226249999992</v>
      </c>
      <c r="U70" s="6"/>
      <c r="V70" s="6"/>
      <c r="W70" s="6"/>
      <c r="X70" s="6"/>
      <c r="Y70" s="6">
        <f t="shared" si="19"/>
        <v>23771.865571263374</v>
      </c>
      <c r="Z70" s="3">
        <f t="shared" si="20"/>
        <v>9031426.5983146839</v>
      </c>
    </row>
    <row r="71" spans="1:26" x14ac:dyDescent="0.25">
      <c r="A71" s="6"/>
      <c r="B71" s="5" t="s">
        <v>105</v>
      </c>
      <c r="C71" t="s">
        <v>112</v>
      </c>
      <c r="D71" s="10">
        <f>$D$37</f>
        <v>960.07281326927591</v>
      </c>
      <c r="E71" s="6"/>
      <c r="F71" s="6"/>
      <c r="G71" s="6"/>
      <c r="H71" s="6"/>
      <c r="I71" s="6">
        <f>$I$43</f>
        <v>1193.1171243816875</v>
      </c>
      <c r="J71" s="6">
        <f>$I$43</f>
        <v>1193.1171243816875</v>
      </c>
      <c r="O71" s="6">
        <f>0.09*$M$27</f>
        <v>882.89303624999991</v>
      </c>
      <c r="P71" s="6">
        <f>0.09*$N$29</f>
        <v>882.89303624999991</v>
      </c>
      <c r="S71" s="6">
        <f>S$43</f>
        <v>9809.9226249999992</v>
      </c>
      <c r="T71" s="6">
        <f>T$45</f>
        <v>9809.9226249999992</v>
      </c>
      <c r="U71" s="6"/>
      <c r="V71" s="6"/>
      <c r="W71" s="6"/>
      <c r="X71" s="6"/>
      <c r="Y71" s="6">
        <f t="shared" si="19"/>
        <v>23771.865571263374</v>
      </c>
      <c r="Z71" s="3">
        <f t="shared" si="20"/>
        <v>22822721.855661869</v>
      </c>
    </row>
    <row r="72" spans="1:26" x14ac:dyDescent="0.25">
      <c r="A72" s="6"/>
      <c r="B72" s="5" t="s">
        <v>106</v>
      </c>
      <c r="C72" t="s">
        <v>123</v>
      </c>
      <c r="D72" s="10">
        <f>$D$54</f>
        <v>379.92081737296741</v>
      </c>
      <c r="E72" s="6"/>
      <c r="F72" s="6"/>
      <c r="G72" s="6">
        <f>$G$27</f>
        <v>773.63502301406243</v>
      </c>
      <c r="H72" s="6">
        <f>$H$27</f>
        <v>773.63502301406243</v>
      </c>
      <c r="M72" s="6">
        <f>M$27</f>
        <v>9809.9226249999992</v>
      </c>
      <c r="N72" s="6">
        <f>N$29</f>
        <v>9809.9226249999992</v>
      </c>
      <c r="S72" s="6"/>
      <c r="T72" s="6"/>
      <c r="U72" s="6"/>
      <c r="V72" s="6"/>
      <c r="W72" s="6"/>
      <c r="X72" s="6"/>
      <c r="Y72" s="6">
        <f t="shared" si="19"/>
        <v>21167.115296028125</v>
      </c>
      <c r="Z72" s="3">
        <f t="shared" si="20"/>
        <v>8041827.7446948467</v>
      </c>
    </row>
    <row r="73" spans="1:26" x14ac:dyDescent="0.25">
      <c r="A73" s="6"/>
      <c r="B73" s="5" t="s">
        <v>107</v>
      </c>
      <c r="C73" t="s">
        <v>112</v>
      </c>
      <c r="D73" s="10">
        <f>$D$55</f>
        <v>960.07281326927591</v>
      </c>
      <c r="E73" s="6"/>
      <c r="F73" s="6"/>
      <c r="G73" s="6">
        <f>$G$27</f>
        <v>773.63502301406243</v>
      </c>
      <c r="H73" s="6">
        <f>$H$27</f>
        <v>773.63502301406243</v>
      </c>
      <c r="M73" s="6">
        <f>M$27</f>
        <v>9809.9226249999992</v>
      </c>
      <c r="N73" s="6">
        <f>N$29</f>
        <v>9809.9226249999992</v>
      </c>
      <c r="S73" s="6"/>
      <c r="T73" s="6"/>
      <c r="U73" s="6"/>
      <c r="V73" s="6"/>
      <c r="W73" s="6"/>
      <c r="X73" s="6"/>
      <c r="Y73" s="6">
        <f t="shared" si="19"/>
        <v>21167.115296028125</v>
      </c>
      <c r="Z73" s="3">
        <f t="shared" si="20"/>
        <v>20321971.931052845</v>
      </c>
    </row>
    <row r="74" spans="1:26" x14ac:dyDescent="0.25">
      <c r="A74" s="6"/>
      <c r="B74" t="s">
        <v>108</v>
      </c>
      <c r="C74" t="s">
        <v>123</v>
      </c>
      <c r="D74" s="29">
        <f>B$2</f>
        <v>379.92081737296741</v>
      </c>
      <c r="E74" s="6">
        <f>E$12</f>
        <v>9809.9226249999992</v>
      </c>
      <c r="F74" s="6">
        <f>F$14</f>
        <v>9809.9226249999992</v>
      </c>
      <c r="G74" s="6"/>
      <c r="H74" s="6"/>
      <c r="S74" s="6"/>
      <c r="T74" s="6"/>
      <c r="U74" s="6"/>
      <c r="V74" s="6"/>
      <c r="W74" s="6"/>
      <c r="X74" s="6"/>
      <c r="Y74" s="6">
        <f t="shared" si="19"/>
        <v>19619.845249999998</v>
      </c>
      <c r="Z74" s="3">
        <f t="shared" si="20"/>
        <v>7453987.6441111313</v>
      </c>
    </row>
    <row r="75" spans="1:26" x14ac:dyDescent="0.25">
      <c r="A75" s="6"/>
      <c r="B75" t="s">
        <v>109</v>
      </c>
      <c r="C75" t="s">
        <v>112</v>
      </c>
      <c r="D75" s="29">
        <f>B$1</f>
        <v>960.07281326927591</v>
      </c>
      <c r="E75" s="6">
        <f>E$12</f>
        <v>9809.9226249999992</v>
      </c>
      <c r="F75" s="6">
        <f>F$14</f>
        <v>9809.9226249999992</v>
      </c>
      <c r="G75" s="6"/>
      <c r="H75" s="6"/>
      <c r="S75" s="6"/>
      <c r="T75" s="6"/>
      <c r="U75" s="6"/>
      <c r="V75" s="6"/>
      <c r="W75" s="6"/>
      <c r="X75" s="6"/>
      <c r="Y75" s="6">
        <f t="shared" si="19"/>
        <v>19619.845249999998</v>
      </c>
      <c r="Z75" s="3">
        <f t="shared" si="20"/>
        <v>18836480.025075339</v>
      </c>
    </row>
    <row r="76" spans="1:26" x14ac:dyDescent="0.25">
      <c r="A76" s="6"/>
      <c r="B76" s="5" t="s">
        <v>196</v>
      </c>
      <c r="C76" s="6">
        <f>C$21</f>
        <v>1200</v>
      </c>
      <c r="D76" s="10">
        <f>+Parameters!$B$24+Parameters!$B$25</f>
        <v>2300</v>
      </c>
      <c r="E76" s="6"/>
      <c r="F76" s="6"/>
      <c r="Y76" s="6"/>
      <c r="Z76" s="3">
        <f>C76*D76</f>
        <v>2760000</v>
      </c>
    </row>
    <row r="77" spans="1:26" x14ac:dyDescent="0.25">
      <c r="A77" s="6"/>
      <c r="B77" s="5" t="s">
        <v>130</v>
      </c>
      <c r="E77" s="6"/>
      <c r="F77" s="6"/>
      <c r="G77" s="6"/>
      <c r="H77" s="6"/>
      <c r="S77" s="6"/>
      <c r="T77" s="6"/>
      <c r="U77" s="6"/>
      <c r="V77" s="6"/>
      <c r="Z77" s="10">
        <f>SUM(Z61:Z76)</f>
        <v>212084527.83859259</v>
      </c>
    </row>
    <row r="78" spans="1:26" x14ac:dyDescent="0.25">
      <c r="A78" s="6"/>
      <c r="G78" s="6"/>
      <c r="H78" s="6"/>
    </row>
    <row r="79" spans="1:26" x14ac:dyDescent="0.25">
      <c r="A79" s="6"/>
      <c r="B79" t="s">
        <v>131</v>
      </c>
      <c r="G79" s="6"/>
      <c r="H79" s="6"/>
      <c r="Z79" s="10">
        <f>Z8+Z22+Z39+Z57+Z77</f>
        <v>693824553.55767322</v>
      </c>
    </row>
    <row r="80" spans="1:26" x14ac:dyDescent="0.25">
      <c r="A80" s="6"/>
      <c r="G80" s="6"/>
      <c r="H80" s="6"/>
    </row>
    <row r="81" spans="1:26" x14ac:dyDescent="0.25">
      <c r="A81" s="6"/>
      <c r="G81" s="6"/>
      <c r="H81" s="6"/>
    </row>
    <row r="82" spans="1:26" x14ac:dyDescent="0.25">
      <c r="A82" s="6"/>
      <c r="B82" t="s">
        <v>189</v>
      </c>
      <c r="C82" s="28" t="s">
        <v>674</v>
      </c>
      <c r="G82" s="6"/>
      <c r="H82" s="6"/>
      <c r="Z82" s="6">
        <f>Y16+Y31+Y47+Y65</f>
        <v>89922.302584847988</v>
      </c>
    </row>
    <row r="83" spans="1:26" x14ac:dyDescent="0.25">
      <c r="A83" s="6"/>
      <c r="B83" s="6"/>
      <c r="C83" s="6"/>
      <c r="D83" s="6"/>
      <c r="E83" s="6"/>
      <c r="F83" s="6"/>
      <c r="G83" s="6"/>
      <c r="H83" s="6"/>
      <c r="I83" s="6"/>
      <c r="J83" s="6"/>
      <c r="K83" s="6"/>
      <c r="L83" s="6"/>
      <c r="M83" s="6"/>
      <c r="N83" s="6"/>
      <c r="O83" s="6"/>
      <c r="P83" s="6"/>
      <c r="Q83" s="6"/>
      <c r="R83" s="6"/>
      <c r="S83" s="6"/>
      <c r="T83" s="6"/>
      <c r="U83" s="6"/>
      <c r="V83" s="6"/>
      <c r="W83" s="6"/>
      <c r="X83" s="6"/>
    </row>
    <row r="84" spans="1:26" ht="30" x14ac:dyDescent="0.25">
      <c r="B84" s="14" t="s">
        <v>155</v>
      </c>
      <c r="G84" s="6"/>
      <c r="H84" s="6"/>
      <c r="Z84" s="10">
        <f>Z12+Z13+Z27+Z28+Z43+Z44+Z61+Z62</f>
        <v>97317995.936270833</v>
      </c>
    </row>
    <row r="85" spans="1:26" x14ac:dyDescent="0.25">
      <c r="B85" t="s">
        <v>193</v>
      </c>
      <c r="G85" s="6"/>
      <c r="H85" s="6"/>
      <c r="Z85" s="10">
        <f>Z79-0.5*Z84</f>
        <v>645165555.58953786</v>
      </c>
    </row>
    <row r="86" spans="1:26" x14ac:dyDescent="0.25">
      <c r="B86" s="14" t="s">
        <v>143</v>
      </c>
      <c r="G86" s="6"/>
      <c r="H86" s="6"/>
      <c r="Z86" s="10">
        <f>Z8+Z10+Z25+Z41+Z59</f>
        <v>107641685.39039999</v>
      </c>
    </row>
    <row r="87" spans="1:26" x14ac:dyDescent="0.25">
      <c r="G87" s="6"/>
      <c r="H87" s="6"/>
    </row>
    <row r="88" spans="1:26" x14ac:dyDescent="0.25">
      <c r="G88" s="6"/>
      <c r="H88" s="6"/>
    </row>
    <row r="89" spans="1:26" x14ac:dyDescent="0.25">
      <c r="G89" s="6"/>
      <c r="H89" s="6"/>
    </row>
    <row r="90" spans="1:26" x14ac:dyDescent="0.25">
      <c r="G90" s="6"/>
      <c r="H90" s="6"/>
    </row>
    <row r="91" spans="1:26" x14ac:dyDescent="0.25">
      <c r="G91" s="6"/>
      <c r="H91" s="6"/>
    </row>
    <row r="92" spans="1:26" x14ac:dyDescent="0.25">
      <c r="G92" s="6"/>
      <c r="H92" s="6"/>
    </row>
    <row r="93" spans="1:26" x14ac:dyDescent="0.25">
      <c r="G93" s="6"/>
      <c r="H93" s="6"/>
    </row>
    <row r="94" spans="1:26" x14ac:dyDescent="0.25">
      <c r="G94" s="6"/>
      <c r="H94" s="6"/>
    </row>
    <row r="95" spans="1:26" x14ac:dyDescent="0.25">
      <c r="G95" s="6"/>
      <c r="H95" s="6"/>
    </row>
    <row r="96" spans="1:26" x14ac:dyDescent="0.25">
      <c r="G96" s="6"/>
      <c r="H96" s="6"/>
    </row>
    <row r="97" spans="7:8" x14ac:dyDescent="0.25">
      <c r="G97" s="6"/>
      <c r="H97" s="6"/>
    </row>
    <row r="98" spans="7:8" x14ac:dyDescent="0.25">
      <c r="G98" s="6"/>
      <c r="H98" s="6"/>
    </row>
    <row r="99" spans="7:8" x14ac:dyDescent="0.25">
      <c r="G99" s="6"/>
      <c r="H99" s="6"/>
    </row>
    <row r="100" spans="7:8" x14ac:dyDescent="0.25">
      <c r="G100" s="6"/>
      <c r="H100" s="6"/>
    </row>
    <row r="101" spans="7:8" x14ac:dyDescent="0.25">
      <c r="G101" s="6"/>
      <c r="H101" s="6"/>
    </row>
    <row r="102" spans="7:8" x14ac:dyDescent="0.25">
      <c r="G102" s="6"/>
      <c r="H102" s="6"/>
    </row>
    <row r="103" spans="7:8" x14ac:dyDescent="0.25">
      <c r="G103" s="6"/>
      <c r="H103" s="6"/>
    </row>
    <row r="104" spans="7:8" x14ac:dyDescent="0.25">
      <c r="G104" s="6"/>
      <c r="H104" s="6"/>
    </row>
    <row r="105" spans="7:8" x14ac:dyDescent="0.25">
      <c r="G105" s="6"/>
      <c r="H105" s="6"/>
    </row>
    <row r="106" spans="7:8" x14ac:dyDescent="0.25">
      <c r="G106" s="6"/>
      <c r="H106" s="6"/>
    </row>
    <row r="107" spans="7:8" x14ac:dyDescent="0.25">
      <c r="G107" s="6"/>
      <c r="H107" s="6"/>
    </row>
    <row r="108" spans="7:8" x14ac:dyDescent="0.25">
      <c r="G108" s="6"/>
      <c r="H108" s="6"/>
    </row>
    <row r="109" spans="7:8" x14ac:dyDescent="0.25">
      <c r="G109" s="6"/>
      <c r="H109" s="6"/>
    </row>
    <row r="110" spans="7:8" x14ac:dyDescent="0.25">
      <c r="G110" s="6"/>
      <c r="H110" s="6"/>
    </row>
    <row r="111" spans="7:8" x14ac:dyDescent="0.25">
      <c r="G111" s="6"/>
      <c r="H111" s="6"/>
    </row>
    <row r="112" spans="7:8" x14ac:dyDescent="0.25">
      <c r="G112" s="6"/>
      <c r="H112" s="6"/>
    </row>
    <row r="113" spans="7:8" x14ac:dyDescent="0.25">
      <c r="G113" s="6"/>
      <c r="H113"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workbookViewId="0">
      <selection activeCell="B7" sqref="B7"/>
    </sheetView>
  </sheetViews>
  <sheetFormatPr defaultRowHeight="15" x14ac:dyDescent="0.25"/>
  <cols>
    <col min="1" max="1" width="31.140625" customWidth="1"/>
    <col min="2" max="2" width="15.28515625" bestFit="1" customWidth="1"/>
    <col min="4" max="4" width="12.7109375" customWidth="1"/>
  </cols>
  <sheetData>
    <row r="3" spans="1:6" x14ac:dyDescent="0.25">
      <c r="A3" t="s">
        <v>136</v>
      </c>
      <c r="B3" s="28">
        <v>250</v>
      </c>
    </row>
    <row r="4" spans="1:6" x14ac:dyDescent="0.25">
      <c r="A4" t="s">
        <v>137</v>
      </c>
      <c r="B4" s="3">
        <v>50917</v>
      </c>
      <c r="D4" s="3">
        <f>+'NCS Recruitment 250 hosp 5 prov'!A1/250</f>
        <v>99607.191894528005</v>
      </c>
      <c r="F4" t="s">
        <v>669</v>
      </c>
    </row>
    <row r="5" spans="1:6" x14ac:dyDescent="0.25">
      <c r="A5" t="s">
        <v>144</v>
      </c>
      <c r="B5" s="3">
        <f>B3*B4</f>
        <v>12729250</v>
      </c>
    </row>
    <row r="6" spans="1:6" x14ac:dyDescent="0.25">
      <c r="A6" t="s">
        <v>134</v>
      </c>
      <c r="B6" s="8">
        <f>+'Cases &amp; costs over time'!F11+'Cases &amp; costs over time'!N26+'Cases &amp; costs over time'!T42+'Cases &amp; costs over time'!X60</f>
        <v>38300</v>
      </c>
      <c r="D6">
        <v>50000</v>
      </c>
    </row>
    <row r="7" spans="1:6" x14ac:dyDescent="0.25">
      <c r="A7" t="s">
        <v>139</v>
      </c>
      <c r="B7" s="3">
        <v>427</v>
      </c>
    </row>
    <row r="8" spans="1:6" x14ac:dyDescent="0.25">
      <c r="A8" t="s">
        <v>135</v>
      </c>
      <c r="B8" s="28">
        <v>1250</v>
      </c>
    </row>
    <row r="9" spans="1:6" x14ac:dyDescent="0.25">
      <c r="A9" t="s">
        <v>138</v>
      </c>
      <c r="B9" s="3">
        <v>50917</v>
      </c>
      <c r="D9" s="3">
        <f>+'NCS Recruitment 250 hosp 5 prov'!E1/1250</f>
        <v>34143.095189913605</v>
      </c>
      <c r="F9" t="s">
        <v>670</v>
      </c>
    </row>
    <row r="10" spans="1:6" x14ac:dyDescent="0.25">
      <c r="A10" t="s">
        <v>145</v>
      </c>
      <c r="B10" s="3">
        <f>B8*B9</f>
        <v>63646250</v>
      </c>
    </row>
    <row r="11" spans="1:6" x14ac:dyDescent="0.25">
      <c r="A11" t="s">
        <v>140</v>
      </c>
      <c r="B11" s="3">
        <v>237</v>
      </c>
    </row>
    <row r="12" spans="1:6" x14ac:dyDescent="0.25">
      <c r="A12" t="s">
        <v>141</v>
      </c>
      <c r="B12" s="8">
        <f>+'Cases &amp; costs over time'!E11+'Cases &amp; costs over time'!M26+'Cases &amp; costs over time'!S42+'Cases &amp; costs over time'!W60</f>
        <v>38300</v>
      </c>
      <c r="D12">
        <v>50000</v>
      </c>
    </row>
    <row r="13" spans="1:6" x14ac:dyDescent="0.25">
      <c r="A13" t="s">
        <v>142</v>
      </c>
      <c r="B13" s="3">
        <f>B3*B4+B8*B9</f>
        <v>76375500</v>
      </c>
    </row>
    <row r="14" spans="1:6" x14ac:dyDescent="0.25">
      <c r="B14" s="3"/>
    </row>
    <row r="15" spans="1:6" x14ac:dyDescent="0.25">
      <c r="A15" t="s">
        <v>148</v>
      </c>
      <c r="B15" s="10">
        <f>+'Cases &amp; costs over time'!Z10+'Cases &amp; costs over time'!Z25+'Cases &amp; costs over time'!Z41+'Cases &amp; costs over time'!Z59</f>
        <v>31266185.3904</v>
      </c>
      <c r="D15" s="10">
        <f>D6*$B$7+D12*$B$11</f>
        <v>33200000</v>
      </c>
    </row>
    <row r="17" spans="1:2" x14ac:dyDescent="0.25">
      <c r="A17" t="s">
        <v>149</v>
      </c>
      <c r="B17" s="10">
        <f>B13+B15</f>
        <v>107641685.39039999</v>
      </c>
    </row>
    <row r="18" spans="1:2" x14ac:dyDescent="0.25">
      <c r="A18" t="s">
        <v>150</v>
      </c>
      <c r="B18">
        <f>+'Cases &amp; costs over time'!Y10+'Cases &amp; costs over time'!Y25+'Cases &amp; costs over time'!Y41+'Cases &amp; costs over time'!Y59</f>
        <v>94175.257199999993</v>
      </c>
    </row>
    <row r="20" spans="1:2" x14ac:dyDescent="0.25">
      <c r="A20" t="s">
        <v>151</v>
      </c>
      <c r="B20" s="16">
        <f>B17/B18</f>
        <v>1142.9932722328683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workbookViewId="0">
      <selection activeCell="P4" sqref="P4"/>
    </sheetView>
  </sheetViews>
  <sheetFormatPr defaultRowHeight="15" x14ac:dyDescent="0.25"/>
  <cols>
    <col min="1" max="1" width="18" customWidth="1"/>
    <col min="2" max="2" width="9.140625" customWidth="1"/>
    <col min="3" max="3" width="8.5703125" customWidth="1"/>
    <col min="4" max="4" width="9.28515625" customWidth="1"/>
    <col min="5" max="5" width="12.42578125" customWidth="1"/>
    <col min="7" max="7" width="5" customWidth="1"/>
    <col min="12" max="12" width="9.7109375" customWidth="1"/>
    <col min="13" max="13" width="3.5703125" customWidth="1"/>
  </cols>
  <sheetData>
    <row r="1" spans="1:19" ht="33" customHeight="1" x14ac:dyDescent="0.25">
      <c r="A1" s="17"/>
      <c r="B1" s="336" t="s">
        <v>158</v>
      </c>
      <c r="C1" s="336"/>
      <c r="D1" s="336"/>
      <c r="E1" s="336"/>
      <c r="F1" s="336"/>
      <c r="G1" s="17"/>
      <c r="H1" s="336" t="s">
        <v>159</v>
      </c>
      <c r="I1" s="336"/>
      <c r="J1" s="336"/>
      <c r="K1" s="336"/>
      <c r="L1" s="336"/>
    </row>
    <row r="2" spans="1:19" ht="30" x14ac:dyDescent="0.25">
      <c r="A2" s="17" t="s">
        <v>160</v>
      </c>
      <c r="B2" s="18" t="s">
        <v>161</v>
      </c>
      <c r="C2" s="18" t="s">
        <v>162</v>
      </c>
      <c r="D2" s="18" t="s">
        <v>163</v>
      </c>
      <c r="E2" s="18" t="s">
        <v>164</v>
      </c>
      <c r="F2" s="18" t="s">
        <v>165</v>
      </c>
      <c r="G2" s="17"/>
      <c r="H2" s="18" t="s">
        <v>161</v>
      </c>
      <c r="I2" s="18" t="s">
        <v>162</v>
      </c>
      <c r="J2" s="18" t="s">
        <v>163</v>
      </c>
      <c r="K2" s="18" t="s">
        <v>164</v>
      </c>
      <c r="L2" s="18" t="s">
        <v>165</v>
      </c>
    </row>
    <row r="3" spans="1:19" ht="30" x14ac:dyDescent="0.25">
      <c r="A3" s="19" t="s">
        <v>166</v>
      </c>
      <c r="B3" s="20">
        <v>3.5000000000000003E-2</v>
      </c>
      <c r="C3" s="20">
        <v>0</v>
      </c>
      <c r="D3" s="20">
        <v>0</v>
      </c>
      <c r="E3" s="20">
        <v>0</v>
      </c>
      <c r="F3" s="20">
        <f>AVERAGE(B3:E3)</f>
        <v>8.7500000000000008E-3</v>
      </c>
      <c r="G3" s="17"/>
      <c r="H3" s="20">
        <f>0.5*B3</f>
        <v>1.7500000000000002E-2</v>
      </c>
      <c r="I3" s="20">
        <f t="shared" ref="I3:L12" si="0">0.5*C3</f>
        <v>0</v>
      </c>
      <c r="J3" s="20">
        <f t="shared" si="0"/>
        <v>0</v>
      </c>
      <c r="K3" s="20">
        <f t="shared" si="0"/>
        <v>0</v>
      </c>
      <c r="L3" s="20">
        <f t="shared" si="0"/>
        <v>4.3750000000000004E-3</v>
      </c>
      <c r="O3" s="11">
        <f t="shared" ref="O3:R6" si="1">B3*(0.402+0.598*0.5)</f>
        <v>2.4535000000000005E-2</v>
      </c>
      <c r="P3">
        <f t="shared" si="1"/>
        <v>0</v>
      </c>
      <c r="Q3">
        <f t="shared" si="1"/>
        <v>0</v>
      </c>
      <c r="R3">
        <f t="shared" si="1"/>
        <v>0</v>
      </c>
    </row>
    <row r="4" spans="1:19" x14ac:dyDescent="0.25">
      <c r="A4" s="17">
        <v>2</v>
      </c>
      <c r="B4" s="20">
        <f t="shared" ref="B4:B9" si="2">E31</f>
        <v>0.11249999999999999</v>
      </c>
      <c r="C4" s="20">
        <v>3.5000000000000003E-2</v>
      </c>
      <c r="D4" s="20">
        <v>0</v>
      </c>
      <c r="E4" s="20">
        <v>0</v>
      </c>
      <c r="F4" s="20">
        <f t="shared" ref="F4:F9" si="3">AVERAGE(B4:E4)</f>
        <v>3.6874999999999998E-2</v>
      </c>
      <c r="G4" s="17"/>
      <c r="H4" s="20">
        <f t="shared" ref="H4:H9" si="4">0.5*B4</f>
        <v>5.6249999999999994E-2</v>
      </c>
      <c r="I4" s="20">
        <f t="shared" si="0"/>
        <v>1.7500000000000002E-2</v>
      </c>
      <c r="J4" s="20">
        <f t="shared" si="0"/>
        <v>0</v>
      </c>
      <c r="K4" s="20">
        <f t="shared" si="0"/>
        <v>0</v>
      </c>
      <c r="L4" s="20">
        <f t="shared" si="0"/>
        <v>1.8437499999999999E-2</v>
      </c>
      <c r="O4" s="11">
        <f>B4*(0.402+0.598*0.5)</f>
        <v>7.8862500000000002E-2</v>
      </c>
      <c r="P4">
        <f t="shared" si="1"/>
        <v>2.4535000000000005E-2</v>
      </c>
      <c r="Q4">
        <f t="shared" si="1"/>
        <v>0</v>
      </c>
      <c r="R4">
        <f t="shared" si="1"/>
        <v>0</v>
      </c>
    </row>
    <row r="5" spans="1:19" x14ac:dyDescent="0.25">
      <c r="A5" s="17">
        <v>3</v>
      </c>
      <c r="B5" s="20">
        <f t="shared" si="2"/>
        <v>0.17349999999999999</v>
      </c>
      <c r="C5" s="20">
        <f>E31</f>
        <v>0.11249999999999999</v>
      </c>
      <c r="D5" s="20">
        <v>3.5000000000000003E-2</v>
      </c>
      <c r="E5" s="20">
        <v>0</v>
      </c>
      <c r="F5" s="20">
        <f t="shared" si="3"/>
        <v>8.0249999999999988E-2</v>
      </c>
      <c r="G5" s="17"/>
      <c r="H5" s="20">
        <f t="shared" si="4"/>
        <v>8.6749999999999994E-2</v>
      </c>
      <c r="I5" s="20">
        <f t="shared" si="0"/>
        <v>5.6249999999999994E-2</v>
      </c>
      <c r="J5" s="20">
        <f t="shared" si="0"/>
        <v>1.7500000000000002E-2</v>
      </c>
      <c r="K5" s="20">
        <f t="shared" si="0"/>
        <v>0</v>
      </c>
      <c r="L5" s="20">
        <f t="shared" si="0"/>
        <v>4.0124999999999994E-2</v>
      </c>
      <c r="O5" s="11">
        <f t="shared" ref="O5:O6" si="5">B5*(0.402+0.598*0.5)</f>
        <v>0.12162350000000001</v>
      </c>
      <c r="P5">
        <f t="shared" si="1"/>
        <v>7.8862500000000002E-2</v>
      </c>
      <c r="Q5">
        <f t="shared" si="1"/>
        <v>2.4535000000000005E-2</v>
      </c>
      <c r="R5">
        <f t="shared" si="1"/>
        <v>0</v>
      </c>
    </row>
    <row r="6" spans="1:19" x14ac:dyDescent="0.25">
      <c r="A6" s="17">
        <v>4</v>
      </c>
      <c r="B6" s="20">
        <f t="shared" si="2"/>
        <v>0.14749999999999999</v>
      </c>
      <c r="C6" s="20">
        <f>E32</f>
        <v>0.17349999999999999</v>
      </c>
      <c r="D6" s="20">
        <f>E31</f>
        <v>0.11249999999999999</v>
      </c>
      <c r="E6" s="20">
        <v>3.5000000000000003E-2</v>
      </c>
      <c r="F6" s="20">
        <f t="shared" si="3"/>
        <v>0.11712499999999998</v>
      </c>
      <c r="G6" s="17"/>
      <c r="H6" s="20">
        <f t="shared" si="4"/>
        <v>7.3749999999999996E-2</v>
      </c>
      <c r="I6" s="20">
        <f t="shared" si="0"/>
        <v>8.6749999999999994E-2</v>
      </c>
      <c r="J6" s="20">
        <f t="shared" si="0"/>
        <v>5.6249999999999994E-2</v>
      </c>
      <c r="K6" s="20">
        <f t="shared" si="0"/>
        <v>1.7500000000000002E-2</v>
      </c>
      <c r="L6" s="20">
        <f t="shared" si="0"/>
        <v>5.856249999999999E-2</v>
      </c>
      <c r="O6" s="11">
        <f t="shared" si="5"/>
        <v>0.1033975</v>
      </c>
      <c r="P6">
        <f t="shared" si="1"/>
        <v>0.12162350000000001</v>
      </c>
      <c r="Q6">
        <f t="shared" si="1"/>
        <v>7.8862500000000002E-2</v>
      </c>
      <c r="R6">
        <f t="shared" si="1"/>
        <v>2.4535000000000005E-2</v>
      </c>
    </row>
    <row r="7" spans="1:19" x14ac:dyDescent="0.25">
      <c r="A7" s="17">
        <v>5</v>
      </c>
      <c r="B7" s="20">
        <f t="shared" si="2"/>
        <v>0.1065</v>
      </c>
      <c r="C7" s="20">
        <f>E33</f>
        <v>0.14749999999999999</v>
      </c>
      <c r="D7" s="20">
        <f>E32</f>
        <v>0.17349999999999999</v>
      </c>
      <c r="E7" s="20">
        <f>E31</f>
        <v>0.11249999999999999</v>
      </c>
      <c r="F7" s="20">
        <f t="shared" si="3"/>
        <v>0.13500000000000001</v>
      </c>
      <c r="G7" s="17"/>
      <c r="H7" s="20">
        <f t="shared" si="4"/>
        <v>5.3249999999999999E-2</v>
      </c>
      <c r="I7" s="20">
        <f t="shared" si="0"/>
        <v>7.3749999999999996E-2</v>
      </c>
      <c r="J7" s="20">
        <f t="shared" si="0"/>
        <v>8.6749999999999994E-2</v>
      </c>
      <c r="K7" s="20">
        <f t="shared" si="0"/>
        <v>5.6249999999999994E-2</v>
      </c>
      <c r="L7" s="20">
        <f t="shared" si="0"/>
        <v>6.7500000000000004E-2</v>
      </c>
      <c r="S7" s="11">
        <f>SUM(O3:R6)/4</f>
        <v>0.17034300000000002</v>
      </c>
    </row>
    <row r="8" spans="1:19" x14ac:dyDescent="0.25">
      <c r="A8" s="17">
        <v>6</v>
      </c>
      <c r="B8" s="20">
        <f t="shared" si="2"/>
        <v>7.4999999999999997E-2</v>
      </c>
      <c r="C8" s="20">
        <f>E34</f>
        <v>0.1065</v>
      </c>
      <c r="D8" s="20">
        <f>E33</f>
        <v>0.14749999999999999</v>
      </c>
      <c r="E8" s="20">
        <f>E32</f>
        <v>0.17349999999999999</v>
      </c>
      <c r="F8" s="20">
        <f t="shared" si="3"/>
        <v>0.12562499999999999</v>
      </c>
      <c r="G8" s="17"/>
      <c r="H8" s="20">
        <f t="shared" si="4"/>
        <v>3.7499999999999999E-2</v>
      </c>
      <c r="I8" s="20">
        <f t="shared" si="0"/>
        <v>5.3249999999999999E-2</v>
      </c>
      <c r="J8" s="20">
        <f t="shared" si="0"/>
        <v>7.3749999999999996E-2</v>
      </c>
      <c r="K8" s="20">
        <f t="shared" si="0"/>
        <v>8.6749999999999994E-2</v>
      </c>
      <c r="L8" s="20">
        <f t="shared" si="0"/>
        <v>6.2812499999999993E-2</v>
      </c>
    </row>
    <row r="9" spans="1:19" x14ac:dyDescent="0.25">
      <c r="A9" s="17">
        <v>7</v>
      </c>
      <c r="B9" s="20">
        <f t="shared" si="2"/>
        <v>4.4999999999999998E-2</v>
      </c>
      <c r="C9" s="20">
        <f>E35</f>
        <v>7.4999999999999997E-2</v>
      </c>
      <c r="D9" s="20">
        <f>E34</f>
        <v>0.1065</v>
      </c>
      <c r="E9" s="20">
        <f>E33</f>
        <v>0.14749999999999999</v>
      </c>
      <c r="F9" s="20">
        <f t="shared" si="3"/>
        <v>9.35E-2</v>
      </c>
      <c r="G9" s="17"/>
      <c r="H9" s="20">
        <f t="shared" si="4"/>
        <v>2.2499999999999999E-2</v>
      </c>
      <c r="I9" s="20">
        <f t="shared" si="0"/>
        <v>3.7499999999999999E-2</v>
      </c>
      <c r="J9" s="20">
        <f t="shared" si="0"/>
        <v>5.3249999999999999E-2</v>
      </c>
      <c r="K9" s="20">
        <f t="shared" si="0"/>
        <v>7.3749999999999996E-2</v>
      </c>
      <c r="L9" s="20">
        <f t="shared" si="0"/>
        <v>4.675E-2</v>
      </c>
    </row>
    <row r="10" spans="1:19" x14ac:dyDescent="0.25">
      <c r="A10" s="17"/>
      <c r="B10" s="17"/>
      <c r="C10" s="17"/>
      <c r="D10" s="17"/>
      <c r="E10" s="17"/>
      <c r="F10" s="17"/>
      <c r="G10" s="17"/>
      <c r="H10" s="20"/>
      <c r="I10" s="20"/>
      <c r="J10" s="20"/>
      <c r="K10" s="20"/>
      <c r="L10" s="20"/>
    </row>
    <row r="11" spans="1:19" ht="30" x14ac:dyDescent="0.25">
      <c r="A11" s="17" t="s">
        <v>167</v>
      </c>
      <c r="B11" s="17"/>
      <c r="C11" s="17"/>
      <c r="D11" s="17"/>
      <c r="E11" s="17"/>
      <c r="F11" s="20">
        <f>SUM(F3:F6)</f>
        <v>0.24299999999999997</v>
      </c>
      <c r="G11" s="17"/>
      <c r="H11" s="20"/>
      <c r="I11" s="20"/>
      <c r="J11" s="20"/>
      <c r="K11" s="20"/>
      <c r="L11" s="20">
        <f t="shared" si="0"/>
        <v>0.12149999999999998</v>
      </c>
    </row>
    <row r="12" spans="1:19" ht="30" x14ac:dyDescent="0.25">
      <c r="A12" s="17" t="s">
        <v>168</v>
      </c>
      <c r="B12" s="17"/>
      <c r="C12" s="17"/>
      <c r="D12" s="17"/>
      <c r="E12" s="17"/>
      <c r="F12" s="20">
        <f>SUM(F3:F9)</f>
        <v>0.59712500000000002</v>
      </c>
      <c r="G12" s="17"/>
      <c r="H12" s="20"/>
      <c r="I12" s="20"/>
      <c r="J12" s="20"/>
      <c r="K12" s="20"/>
      <c r="L12" s="20">
        <f t="shared" si="0"/>
        <v>0.29856250000000001</v>
      </c>
    </row>
    <row r="13" spans="1:19" x14ac:dyDescent="0.25">
      <c r="A13" s="17"/>
      <c r="B13" s="17"/>
      <c r="C13" s="17"/>
      <c r="D13" s="17"/>
      <c r="E13" s="17"/>
      <c r="F13" s="20"/>
      <c r="G13" s="17"/>
      <c r="H13" s="20"/>
      <c r="I13" s="20"/>
      <c r="J13" s="20"/>
      <c r="K13" s="20"/>
      <c r="L13" s="20"/>
    </row>
    <row r="14" spans="1:19" ht="16.5" customHeight="1" x14ac:dyDescent="0.25">
      <c r="A14" s="21" t="s">
        <v>169</v>
      </c>
      <c r="B14" s="17"/>
      <c r="C14" s="17"/>
      <c r="D14" s="17"/>
      <c r="E14" s="17"/>
      <c r="F14" s="20"/>
      <c r="G14" s="17"/>
      <c r="H14" s="20"/>
      <c r="I14" s="20"/>
      <c r="J14" s="20"/>
      <c r="K14" s="20"/>
    </row>
    <row r="15" spans="1:19" x14ac:dyDescent="0.25">
      <c r="A15" s="17" t="s">
        <v>170</v>
      </c>
      <c r="B15" s="17"/>
      <c r="C15" s="17"/>
      <c r="D15" s="17"/>
      <c r="E15" s="17"/>
      <c r="F15" s="20"/>
      <c r="G15" s="17"/>
      <c r="H15" s="20"/>
      <c r="I15" s="20"/>
      <c r="J15" s="20"/>
      <c r="K15" s="20"/>
      <c r="L15" s="20">
        <f>(0.402*F11)+(0.598*L11)</f>
        <v>0.17034299999999997</v>
      </c>
    </row>
    <row r="16" spans="1:19" x14ac:dyDescent="0.25">
      <c r="A16" s="17" t="s">
        <v>171</v>
      </c>
      <c r="B16" s="17"/>
      <c r="C16" s="17"/>
      <c r="D16" s="17"/>
      <c r="E16" s="17"/>
      <c r="F16" s="20"/>
      <c r="G16" s="17"/>
      <c r="H16" s="20"/>
      <c r="I16" s="20"/>
      <c r="J16" s="20"/>
      <c r="K16" s="20"/>
      <c r="L16" s="20">
        <f>(0.402*F12)+(0.598*L12)</f>
        <v>0.41858462500000004</v>
      </c>
    </row>
    <row r="17" spans="1:12" x14ac:dyDescent="0.25">
      <c r="A17" s="17"/>
      <c r="B17" s="17"/>
      <c r="C17" s="17"/>
      <c r="D17" s="17"/>
      <c r="E17" s="17"/>
      <c r="F17" s="20"/>
      <c r="G17" s="17"/>
      <c r="H17" s="20"/>
      <c r="I17" s="20"/>
      <c r="J17" s="20"/>
      <c r="K17" s="20"/>
      <c r="L17" s="20"/>
    </row>
    <row r="18" spans="1:12" ht="30" x14ac:dyDescent="0.25">
      <c r="A18" s="17" t="s">
        <v>172</v>
      </c>
      <c r="B18" s="17"/>
      <c r="C18" s="17"/>
      <c r="D18" s="17"/>
      <c r="E18" s="17"/>
      <c r="F18" s="20"/>
      <c r="G18" s="17"/>
      <c r="H18" s="20"/>
      <c r="I18" s="20"/>
      <c r="J18" s="20"/>
      <c r="K18" s="22" t="s">
        <v>173</v>
      </c>
      <c r="L18" s="18" t="s">
        <v>174</v>
      </c>
    </row>
    <row r="19" spans="1:12" x14ac:dyDescent="0.25">
      <c r="A19" s="19" t="s">
        <v>175</v>
      </c>
      <c r="B19" s="17"/>
      <c r="C19" s="17"/>
      <c r="D19" s="17"/>
      <c r="E19" s="17"/>
      <c r="F19" s="20"/>
      <c r="G19" s="17"/>
      <c r="H19" s="20"/>
      <c r="I19" s="20"/>
      <c r="J19" s="20"/>
      <c r="K19" s="23">
        <f>90000/(1+L15)</f>
        <v>76900.532578910628</v>
      </c>
      <c r="L19" s="1">
        <f>0.8*K19</f>
        <v>61520.426063128507</v>
      </c>
    </row>
    <row r="20" spans="1:12" x14ac:dyDescent="0.25">
      <c r="A20" s="19" t="s">
        <v>176</v>
      </c>
      <c r="B20" s="17"/>
      <c r="C20" s="17"/>
      <c r="D20" s="17"/>
      <c r="E20" s="17"/>
      <c r="F20" s="20"/>
      <c r="G20" s="17"/>
      <c r="H20" s="20"/>
      <c r="I20" s="20"/>
      <c r="J20" s="20"/>
      <c r="K20" s="23">
        <f>90000/(1+L16)</f>
        <v>63443.51857049064</v>
      </c>
      <c r="L20" s="1">
        <f t="shared" ref="L20:L23" si="6">0.8*K20</f>
        <v>50754.814856392513</v>
      </c>
    </row>
    <row r="21" spans="1:12" x14ac:dyDescent="0.25">
      <c r="A21" s="17" t="s">
        <v>177</v>
      </c>
      <c r="B21" s="17"/>
      <c r="C21" s="17"/>
      <c r="D21" s="17"/>
      <c r="E21" s="17"/>
      <c r="F21" s="17"/>
      <c r="G21" s="17"/>
      <c r="H21" s="17"/>
      <c r="I21" s="17"/>
      <c r="J21" s="17"/>
      <c r="K21" s="24"/>
      <c r="L21" s="1"/>
    </row>
    <row r="22" spans="1:12" x14ac:dyDescent="0.25">
      <c r="A22" s="19" t="s">
        <v>175</v>
      </c>
      <c r="B22" s="17"/>
      <c r="C22" s="17"/>
      <c r="D22" s="17"/>
      <c r="E22" s="17"/>
      <c r="F22" s="17"/>
      <c r="G22" s="17"/>
      <c r="H22" s="17"/>
      <c r="I22" s="17"/>
      <c r="J22" s="17"/>
      <c r="K22" s="23">
        <f>90000-K19</f>
        <v>13099.467421089372</v>
      </c>
      <c r="L22" s="1">
        <f t="shared" si="6"/>
        <v>10479.573936871499</v>
      </c>
    </row>
    <row r="23" spans="1:12" x14ac:dyDescent="0.25">
      <c r="A23" s="19" t="s">
        <v>176</v>
      </c>
      <c r="B23" s="17"/>
      <c r="C23" s="17"/>
      <c r="D23" s="17"/>
      <c r="E23" s="17"/>
      <c r="F23" s="17"/>
      <c r="G23" s="17"/>
      <c r="H23" s="17"/>
      <c r="I23" s="17"/>
      <c r="J23" s="17"/>
      <c r="K23" s="23">
        <f>90000-K20</f>
        <v>26556.48142950936</v>
      </c>
      <c r="L23" s="1">
        <f t="shared" si="6"/>
        <v>21245.18514360749</v>
      </c>
    </row>
    <row r="24" spans="1:12" x14ac:dyDescent="0.25">
      <c r="A24" s="19" t="s">
        <v>178</v>
      </c>
      <c r="B24" s="17"/>
      <c r="C24" s="17"/>
      <c r="D24" s="17"/>
      <c r="E24" s="17"/>
      <c r="F24" s="17"/>
      <c r="G24" s="17"/>
      <c r="H24" s="17"/>
      <c r="I24" s="17"/>
      <c r="J24" s="17"/>
      <c r="K24" s="25"/>
      <c r="L24" s="1"/>
    </row>
    <row r="25" spans="1:12" x14ac:dyDescent="0.25">
      <c r="A25" s="19" t="s">
        <v>175</v>
      </c>
      <c r="B25" s="17"/>
      <c r="C25" s="17"/>
      <c r="D25" s="17"/>
      <c r="E25" s="17"/>
      <c r="F25" s="17"/>
      <c r="G25" s="17"/>
      <c r="H25" s="17"/>
      <c r="I25" s="17"/>
      <c r="J25" s="17"/>
      <c r="K25" s="26">
        <f>0.035*K19</f>
        <v>2691.5186402618724</v>
      </c>
      <c r="L25" s="26">
        <f t="shared" ref="L25:L26" si="7">0.035*L19</f>
        <v>2153.2149122094979</v>
      </c>
    </row>
    <row r="26" spans="1:12" x14ac:dyDescent="0.25">
      <c r="A26" s="19" t="s">
        <v>176</v>
      </c>
      <c r="B26" s="17"/>
      <c r="C26" s="17"/>
      <c r="D26" s="17"/>
      <c r="E26" s="17"/>
      <c r="F26" s="17"/>
      <c r="G26" s="17"/>
      <c r="H26" s="17"/>
      <c r="I26" s="17"/>
      <c r="J26" s="17"/>
      <c r="K26" s="26">
        <f t="shared" ref="K26" si="8">0.035*K20</f>
        <v>2220.5231499671727</v>
      </c>
      <c r="L26" s="26">
        <f t="shared" si="7"/>
        <v>1776.4185199737381</v>
      </c>
    </row>
    <row r="27" spans="1:12" x14ac:dyDescent="0.25">
      <c r="A27" s="17"/>
      <c r="B27" s="17"/>
      <c r="C27" s="17"/>
      <c r="D27" s="17"/>
      <c r="E27" s="17"/>
      <c r="F27" s="17"/>
      <c r="G27" s="17"/>
      <c r="H27" s="17"/>
      <c r="I27" s="17"/>
      <c r="J27" s="17"/>
      <c r="K27" s="14"/>
    </row>
    <row r="28" spans="1:12" x14ac:dyDescent="0.25">
      <c r="A28" s="27"/>
      <c r="B28" s="27"/>
      <c r="C28" s="14"/>
      <c r="D28" s="337"/>
      <c r="E28" s="337"/>
      <c r="F28" s="14"/>
      <c r="G28" s="14"/>
      <c r="H28" s="14"/>
      <c r="I28" s="14"/>
      <c r="J28" s="14"/>
      <c r="K28" s="14"/>
    </row>
    <row r="29" spans="1:12" x14ac:dyDescent="0.25">
      <c r="A29" s="335" t="s">
        <v>179</v>
      </c>
      <c r="B29" s="335"/>
      <c r="C29" s="14"/>
      <c r="D29" s="335" t="s">
        <v>180</v>
      </c>
      <c r="E29" s="335"/>
      <c r="F29" s="14"/>
      <c r="G29" s="14"/>
      <c r="H29" s="14"/>
      <c r="I29" s="14"/>
      <c r="J29" s="14"/>
      <c r="K29" s="14"/>
    </row>
    <row r="30" spans="1:12" x14ac:dyDescent="0.25">
      <c r="A30" s="14" t="s">
        <v>181</v>
      </c>
      <c r="B30" s="14">
        <v>2.5000000000000001E-2</v>
      </c>
      <c r="C30" s="14"/>
      <c r="D30" s="14">
        <v>1</v>
      </c>
      <c r="E30" s="14">
        <v>3.5000000000000003E-2</v>
      </c>
      <c r="F30" s="14"/>
      <c r="G30" s="14"/>
      <c r="H30" s="14"/>
      <c r="I30" s="14"/>
      <c r="J30" s="14"/>
      <c r="K30" s="14"/>
    </row>
    <row r="31" spans="1:12" x14ac:dyDescent="0.25">
      <c r="A31" s="14" t="s">
        <v>182</v>
      </c>
      <c r="B31" s="14">
        <v>0.17499999999999999</v>
      </c>
      <c r="C31" s="14"/>
      <c r="D31" s="14">
        <v>2</v>
      </c>
      <c r="E31" s="14">
        <f>B30+(0.5*B31)</f>
        <v>0.11249999999999999</v>
      </c>
      <c r="F31" s="14"/>
      <c r="G31" s="14"/>
      <c r="H31" s="14"/>
      <c r="I31" s="14"/>
      <c r="J31" s="14"/>
      <c r="K31" s="14"/>
    </row>
    <row r="32" spans="1:12" x14ac:dyDescent="0.25">
      <c r="A32" s="14" t="s">
        <v>183</v>
      </c>
      <c r="B32" s="14">
        <v>0.17199999999999999</v>
      </c>
      <c r="C32" s="14"/>
      <c r="D32" s="14">
        <v>3</v>
      </c>
      <c r="E32" s="14">
        <f>(0.5*B31)+(0.5*B32)</f>
        <v>0.17349999999999999</v>
      </c>
      <c r="F32" s="14"/>
      <c r="G32" s="14"/>
      <c r="H32" s="14"/>
      <c r="I32" s="14"/>
      <c r="J32" s="14"/>
      <c r="K32" s="14"/>
    </row>
    <row r="33" spans="1:11" x14ac:dyDescent="0.25">
      <c r="A33" s="14" t="s">
        <v>184</v>
      </c>
      <c r="B33" s="14">
        <v>0.123</v>
      </c>
      <c r="C33" s="14"/>
      <c r="D33" s="14">
        <v>4</v>
      </c>
      <c r="E33" s="14">
        <f t="shared" ref="E33" si="9">(0.5*B32)+(0.5*B33)</f>
        <v>0.14749999999999999</v>
      </c>
      <c r="F33" s="14"/>
      <c r="G33" s="14"/>
      <c r="H33" s="14"/>
      <c r="I33" s="14"/>
      <c r="J33" s="14"/>
      <c r="K33" s="14"/>
    </row>
    <row r="34" spans="1:11" x14ac:dyDescent="0.25">
      <c r="A34" s="14" t="s">
        <v>185</v>
      </c>
      <c r="B34" s="14">
        <v>0.20599999999999999</v>
      </c>
      <c r="C34" s="14"/>
      <c r="D34" s="14">
        <v>5</v>
      </c>
      <c r="E34" s="14">
        <f>(0.5*B33)+(0.5*0.09)</f>
        <v>0.1065</v>
      </c>
      <c r="F34" s="14"/>
      <c r="G34" s="14"/>
      <c r="H34" s="14"/>
      <c r="I34" s="14"/>
      <c r="J34" s="14"/>
      <c r="K34" s="14"/>
    </row>
    <row r="35" spans="1:11" ht="30" x14ac:dyDescent="0.25">
      <c r="A35" s="14" t="s">
        <v>186</v>
      </c>
      <c r="B35" s="14"/>
      <c r="C35" s="14"/>
      <c r="D35" s="14">
        <v>6</v>
      </c>
      <c r="E35" s="14">
        <f>(0.5*0.09)+(0.5*0.06)</f>
        <v>7.4999999999999997E-2</v>
      </c>
      <c r="F35" s="14"/>
      <c r="G35" s="14"/>
      <c r="H35" s="14"/>
      <c r="I35" s="14"/>
      <c r="J35" s="14"/>
      <c r="K35" s="14"/>
    </row>
    <row r="36" spans="1:11" ht="30" x14ac:dyDescent="0.25">
      <c r="A36" s="14" t="s">
        <v>187</v>
      </c>
      <c r="B36" s="14">
        <v>3.5000000000000003E-2</v>
      </c>
      <c r="D36" s="14">
        <v>7</v>
      </c>
      <c r="E36" s="14">
        <f>(0.5*0.06)+(0.5*0.03)</f>
        <v>4.4999999999999998E-2</v>
      </c>
    </row>
    <row r="38" spans="1:11" x14ac:dyDescent="0.25">
      <c r="A38" s="335" t="s">
        <v>188</v>
      </c>
      <c r="B38" s="335"/>
      <c r="C38" s="335"/>
    </row>
  </sheetData>
  <mergeCells count="6">
    <mergeCell ref="A38:C38"/>
    <mergeCell ref="B1:F1"/>
    <mergeCell ref="H1:L1"/>
    <mergeCell ref="D28:E28"/>
    <mergeCell ref="A29:B29"/>
    <mergeCell ref="D29:E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9"/>
  <sheetViews>
    <sheetView topLeftCell="A43" workbookViewId="0">
      <selection activeCell="C81" sqref="C81"/>
    </sheetView>
  </sheetViews>
  <sheetFormatPr defaultRowHeight="15" x14ac:dyDescent="0.25"/>
  <cols>
    <col min="1" max="1" width="36.5703125" customWidth="1"/>
    <col min="2" max="2" width="13.28515625" bestFit="1" customWidth="1"/>
    <col min="3" max="3" width="58.42578125" customWidth="1"/>
  </cols>
  <sheetData>
    <row r="2" spans="1:4" x14ac:dyDescent="0.25">
      <c r="A2" t="s">
        <v>202</v>
      </c>
      <c r="B2" s="4">
        <v>4000000</v>
      </c>
      <c r="C2" s="30" t="s">
        <v>207</v>
      </c>
    </row>
    <row r="3" spans="1:4" x14ac:dyDescent="0.25">
      <c r="A3" t="s">
        <v>203</v>
      </c>
      <c r="B3" s="4">
        <v>32238</v>
      </c>
      <c r="C3" t="s">
        <v>219</v>
      </c>
    </row>
    <row r="4" spans="1:4" x14ac:dyDescent="0.25">
      <c r="A4" t="s">
        <v>253</v>
      </c>
      <c r="B4" s="6">
        <f>B3*B49</f>
        <v>25790.400000000001</v>
      </c>
    </row>
    <row r="5" spans="1:4" x14ac:dyDescent="0.25">
      <c r="A5" t="s">
        <v>254</v>
      </c>
      <c r="B5" s="6">
        <f>B4*(1-B27)</f>
        <v>22953.456000000002</v>
      </c>
    </row>
    <row r="6" spans="1:4" x14ac:dyDescent="0.25">
      <c r="B6" s="4"/>
    </row>
    <row r="7" spans="1:4" x14ac:dyDescent="0.25">
      <c r="A7" t="s">
        <v>204</v>
      </c>
      <c r="B7" s="6">
        <v>5800</v>
      </c>
    </row>
    <row r="8" spans="1:4" x14ac:dyDescent="0.25">
      <c r="A8" t="s">
        <v>205</v>
      </c>
      <c r="B8" s="6">
        <v>3200</v>
      </c>
      <c r="C8" s="30" t="s">
        <v>215</v>
      </c>
    </row>
    <row r="9" spans="1:4" x14ac:dyDescent="0.25">
      <c r="A9" t="s">
        <v>255</v>
      </c>
      <c r="B9" s="6">
        <f>B2/B5</f>
        <v>174.2656966340929</v>
      </c>
    </row>
    <row r="10" spans="1:4" x14ac:dyDescent="0.25">
      <c r="A10" t="s">
        <v>256</v>
      </c>
      <c r="B10" s="7">
        <f>B9/12</f>
        <v>14.522141386174409</v>
      </c>
    </row>
    <row r="11" spans="1:4" x14ac:dyDescent="0.25">
      <c r="A11" t="s">
        <v>206</v>
      </c>
      <c r="B11" s="6">
        <f>B2/B8</f>
        <v>1250</v>
      </c>
    </row>
    <row r="13" spans="1:4" x14ac:dyDescent="0.25">
      <c r="C13" t="s">
        <v>208</v>
      </c>
      <c r="D13" t="s">
        <v>209</v>
      </c>
    </row>
    <row r="15" spans="1:4" x14ac:dyDescent="0.25">
      <c r="A15" s="5" t="s">
        <v>211</v>
      </c>
      <c r="B15">
        <f>B16+B17</f>
        <v>0.25800000000000001</v>
      </c>
      <c r="C15" t="s">
        <v>210</v>
      </c>
    </row>
    <row r="16" spans="1:4" x14ac:dyDescent="0.25">
      <c r="A16" s="5" t="s">
        <v>213</v>
      </c>
      <c r="B16">
        <v>0.188</v>
      </c>
      <c r="C16" t="s">
        <v>258</v>
      </c>
    </row>
    <row r="17" spans="1:7" x14ac:dyDescent="0.25">
      <c r="A17" s="5" t="s">
        <v>214</v>
      </c>
      <c r="B17">
        <v>7.0000000000000007E-2</v>
      </c>
      <c r="C17" t="s">
        <v>226</v>
      </c>
    </row>
    <row r="18" spans="1:7" x14ac:dyDescent="0.25">
      <c r="A18" s="5" t="s">
        <v>212</v>
      </c>
      <c r="B18">
        <v>4</v>
      </c>
    </row>
    <row r="19" spans="1:7" x14ac:dyDescent="0.25">
      <c r="A19" s="5" t="s">
        <v>245</v>
      </c>
      <c r="B19">
        <v>0.439</v>
      </c>
    </row>
    <row r="20" spans="1:7" x14ac:dyDescent="0.25">
      <c r="A20" s="5" t="s">
        <v>246</v>
      </c>
      <c r="B20">
        <v>0.151</v>
      </c>
    </row>
    <row r="21" spans="1:7" x14ac:dyDescent="0.25">
      <c r="A21" s="32" t="s">
        <v>257</v>
      </c>
      <c r="B21" s="6">
        <f>B5*B20</f>
        <v>3465.9718560000001</v>
      </c>
      <c r="C21" s="6"/>
    </row>
    <row r="22" spans="1:7" x14ac:dyDescent="0.25">
      <c r="A22" s="5" t="s">
        <v>247</v>
      </c>
      <c r="B22">
        <v>0.12</v>
      </c>
    </row>
    <row r="23" spans="1:7" x14ac:dyDescent="0.25">
      <c r="A23" s="5" t="s">
        <v>248</v>
      </c>
      <c r="B23">
        <v>2.1000000000000001E-2</v>
      </c>
    </row>
    <row r="24" spans="1:7" x14ac:dyDescent="0.25">
      <c r="A24" s="5" t="s">
        <v>249</v>
      </c>
      <c r="B24">
        <v>2.1000000000000001E-2</v>
      </c>
    </row>
    <row r="25" spans="1:7" x14ac:dyDescent="0.25">
      <c r="A25" s="5" t="s">
        <v>250</v>
      </c>
      <c r="B25" s="31">
        <v>5.5E-2</v>
      </c>
      <c r="F25" s="6"/>
      <c r="G25" s="6"/>
    </row>
    <row r="26" spans="1:7" x14ac:dyDescent="0.25">
      <c r="A26" s="5" t="s">
        <v>251</v>
      </c>
      <c r="B26" s="31">
        <f>B19+B20+B23+B24</f>
        <v>0.63200000000000001</v>
      </c>
    </row>
    <row r="27" spans="1:7" x14ac:dyDescent="0.25">
      <c r="A27" s="5" t="s">
        <v>252</v>
      </c>
      <c r="B27" s="31">
        <f>1-B26-B16-B17</f>
        <v>0.10999999999999999</v>
      </c>
    </row>
    <row r="28" spans="1:7" x14ac:dyDescent="0.25">
      <c r="A28" s="5"/>
      <c r="B28" s="31"/>
    </row>
    <row r="29" spans="1:7" x14ac:dyDescent="0.25">
      <c r="A29" s="5" t="s">
        <v>232</v>
      </c>
      <c r="B29" s="6">
        <f>B5*B16</f>
        <v>4315.2497280000007</v>
      </c>
    </row>
    <row r="30" spans="1:7" x14ac:dyDescent="0.25">
      <c r="A30" s="5" t="s">
        <v>233</v>
      </c>
      <c r="B30" s="6">
        <f>B5*B17/2</f>
        <v>803.3709600000002</v>
      </c>
    </row>
    <row r="31" spans="1:7" x14ac:dyDescent="0.25">
      <c r="A31" s="5" t="s">
        <v>234</v>
      </c>
      <c r="B31" s="6">
        <f>B5*(1-B16-B17)/B18</f>
        <v>4257.8660880000007</v>
      </c>
    </row>
    <row r="32" spans="1:7" x14ac:dyDescent="0.25">
      <c r="A32" s="5" t="s">
        <v>238</v>
      </c>
      <c r="B32" s="6">
        <f>SUM(B29:B31)</f>
        <v>9376.4867760000016</v>
      </c>
    </row>
    <row r="33" spans="1:2" x14ac:dyDescent="0.25">
      <c r="A33" s="5"/>
      <c r="B33" s="6"/>
    </row>
    <row r="34" spans="1:2" x14ac:dyDescent="0.25">
      <c r="A34" s="5" t="s">
        <v>235</v>
      </c>
      <c r="B34" s="6">
        <f>B29*B9</f>
        <v>752000</v>
      </c>
    </row>
    <row r="35" spans="1:2" x14ac:dyDescent="0.25">
      <c r="A35" s="5" t="s">
        <v>236</v>
      </c>
      <c r="B35" s="6">
        <f>B30*B9*2</f>
        <v>280000.00000000006</v>
      </c>
    </row>
    <row r="36" spans="1:2" x14ac:dyDescent="0.25">
      <c r="A36" s="5" t="s">
        <v>237</v>
      </c>
      <c r="B36" s="6">
        <f>B31*B9*B18</f>
        <v>2968000</v>
      </c>
    </row>
    <row r="37" spans="1:2" x14ac:dyDescent="0.25">
      <c r="A37" s="5"/>
      <c r="B37" s="6"/>
    </row>
    <row r="38" spans="1:2" x14ac:dyDescent="0.25">
      <c r="A38" s="5" t="s">
        <v>239</v>
      </c>
      <c r="B38" s="2">
        <f>B29/B32</f>
        <v>0.46022031823745407</v>
      </c>
    </row>
    <row r="39" spans="1:2" x14ac:dyDescent="0.25">
      <c r="A39" s="5" t="s">
        <v>240</v>
      </c>
      <c r="B39" s="2">
        <f>B30/B32</f>
        <v>8.5679314565483486E-2</v>
      </c>
    </row>
    <row r="40" spans="1:2" x14ac:dyDescent="0.25">
      <c r="A40" s="5" t="s">
        <v>241</v>
      </c>
      <c r="B40" s="2">
        <f>B31/B32</f>
        <v>0.45410036719706243</v>
      </c>
    </row>
    <row r="41" spans="1:2" x14ac:dyDescent="0.25">
      <c r="A41" s="5"/>
      <c r="B41" s="2"/>
    </row>
    <row r="42" spans="1:2" x14ac:dyDescent="0.25">
      <c r="A42" s="5" t="s">
        <v>242</v>
      </c>
      <c r="B42" s="2">
        <f>B38/(B$38+B$39*2+B$40*B$18)</f>
        <v>0.188</v>
      </c>
    </row>
    <row r="43" spans="1:2" x14ac:dyDescent="0.25">
      <c r="A43" s="5" t="s">
        <v>243</v>
      </c>
      <c r="B43" s="2">
        <f>B39*2/(B$38+B$39*2+B$40*B$18)</f>
        <v>7.0000000000000007E-2</v>
      </c>
    </row>
    <row r="44" spans="1:2" x14ac:dyDescent="0.25">
      <c r="A44" s="5" t="s">
        <v>244</v>
      </c>
      <c r="B44" s="2">
        <f>B40*B18/(B$38+B$39*2+B$40*B$18)</f>
        <v>0.74199999999999999</v>
      </c>
    </row>
    <row r="45" spans="1:2" x14ac:dyDescent="0.25">
      <c r="A45" s="5"/>
      <c r="B45" s="6"/>
    </row>
    <row r="47" spans="1:2" x14ac:dyDescent="0.25">
      <c r="A47" s="5" t="s">
        <v>216</v>
      </c>
      <c r="B47" s="7">
        <f>B32/B8</f>
        <v>2.9301521175000005</v>
      </c>
    </row>
    <row r="49" spans="1:3" x14ac:dyDescent="0.25">
      <c r="A49" s="5" t="s">
        <v>217</v>
      </c>
      <c r="B49" s="2">
        <v>0.8</v>
      </c>
      <c r="C49" t="s">
        <v>218</v>
      </c>
    </row>
    <row r="50" spans="1:3" x14ac:dyDescent="0.25">
      <c r="A50" s="5" t="s">
        <v>220</v>
      </c>
      <c r="B50">
        <v>17.7</v>
      </c>
      <c r="C50" t="s">
        <v>219</v>
      </c>
    </row>
    <row r="51" spans="1:3" x14ac:dyDescent="0.25">
      <c r="A51" s="5" t="s">
        <v>228</v>
      </c>
      <c r="B51" s="7">
        <f>B2/(B5*12)</f>
        <v>14.522141386174409</v>
      </c>
    </row>
    <row r="52" spans="1:3" x14ac:dyDescent="0.25">
      <c r="A52" s="5" t="s">
        <v>229</v>
      </c>
      <c r="B52" s="7">
        <v>156</v>
      </c>
    </row>
    <row r="53" spans="1:3" x14ac:dyDescent="0.25">
      <c r="A53" s="5" t="s">
        <v>230</v>
      </c>
      <c r="B53" s="7">
        <v>312</v>
      </c>
    </row>
    <row r="54" spans="1:3" x14ac:dyDescent="0.25">
      <c r="A54" s="5" t="s">
        <v>231</v>
      </c>
      <c r="B54" s="7">
        <f>B52*B18</f>
        <v>624</v>
      </c>
    </row>
    <row r="55" spans="1:3" x14ac:dyDescent="0.25">
      <c r="A55" s="5"/>
      <c r="B55" s="7"/>
    </row>
    <row r="56" spans="1:3" x14ac:dyDescent="0.25">
      <c r="A56" s="5" t="s">
        <v>221</v>
      </c>
      <c r="B56" s="4">
        <v>44750</v>
      </c>
      <c r="C56" t="s">
        <v>224</v>
      </c>
    </row>
    <row r="57" spans="1:3" x14ac:dyDescent="0.25">
      <c r="A57" s="5" t="s">
        <v>222</v>
      </c>
      <c r="B57" s="4">
        <v>23700</v>
      </c>
      <c r="C57" t="s">
        <v>223</v>
      </c>
    </row>
    <row r="59" spans="1:3" x14ac:dyDescent="0.25">
      <c r="A59" s="5" t="s">
        <v>225</v>
      </c>
      <c r="B59" s="4">
        <f>B2/(B50*12)</f>
        <v>18832.391713747649</v>
      </c>
      <c r="C59" t="s">
        <v>227</v>
      </c>
    </row>
  </sheetData>
  <hyperlinks>
    <hyperlink ref="C2"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183"/>
  <sheetViews>
    <sheetView zoomScale="70" zoomScaleNormal="70" workbookViewId="0">
      <pane ySplit="2" topLeftCell="A3" activePane="bottomLeft" state="frozen"/>
      <selection pane="bottomLeft" activeCell="E1" sqref="E1:G1"/>
    </sheetView>
  </sheetViews>
  <sheetFormatPr defaultRowHeight="15" x14ac:dyDescent="0.25"/>
  <cols>
    <col min="1" max="1" width="39" style="33" customWidth="1"/>
    <col min="2" max="2" width="34.5703125" style="33" customWidth="1"/>
    <col min="3" max="3" width="18.42578125" style="33" customWidth="1"/>
    <col min="4" max="4" width="13" style="57" customWidth="1"/>
    <col min="5" max="5" width="29.140625" style="33" customWidth="1"/>
    <col min="6" max="6" width="34.5703125" style="33" customWidth="1"/>
    <col min="7" max="7" width="16.42578125" style="33" bestFit="1" customWidth="1"/>
    <col min="8" max="8" width="14.28515625" style="57" customWidth="1"/>
    <col min="9" max="9" width="0.42578125" style="33" customWidth="1"/>
    <col min="10" max="11" width="1" style="33" customWidth="1"/>
    <col min="12" max="12" width="0.85546875" style="33" customWidth="1"/>
    <col min="13" max="13" width="3.42578125" style="57" customWidth="1"/>
    <col min="14" max="14" width="29.140625" style="33" customWidth="1"/>
    <col min="15" max="15" width="34.5703125" style="33" customWidth="1"/>
    <col min="16" max="16" width="17.42578125" style="33" customWidth="1"/>
    <col min="17" max="17" width="0.7109375" style="299" customWidth="1"/>
    <col min="18" max="18" width="1.28515625" style="299" customWidth="1"/>
    <col min="19" max="19" width="1" style="57" customWidth="1"/>
    <col min="20" max="20" width="1.42578125" style="33" customWidth="1"/>
    <col min="21" max="21" width="0.85546875" style="33" customWidth="1"/>
    <col min="22" max="22" width="0.7109375" style="33" customWidth="1"/>
    <col min="23" max="23" width="1.140625" style="33" customWidth="1"/>
    <col min="24" max="24" width="8.7109375" style="33" customWidth="1"/>
    <col min="25" max="25" width="29.140625" style="33" customWidth="1"/>
    <col min="26" max="26" width="34.5703125" style="33" customWidth="1"/>
    <col min="27" max="27" width="16.5703125" style="33" customWidth="1"/>
    <col min="28" max="29" width="1.42578125" style="299" customWidth="1"/>
    <col min="30" max="30" width="9.140625" style="57"/>
    <col min="31" max="31" width="17.42578125" style="141" customWidth="1"/>
    <col min="32" max="32" width="9.140625" style="33" customWidth="1"/>
    <col min="33" max="33" width="14.85546875" style="33" customWidth="1"/>
    <col min="34" max="95" width="9.140625" style="33" customWidth="1"/>
    <col min="96" max="96" width="14.28515625" style="33" bestFit="1" customWidth="1"/>
    <col min="97" max="16384" width="9.140625" style="33"/>
  </cols>
  <sheetData>
    <row r="1" spans="1:100" x14ac:dyDescent="0.25">
      <c r="A1" s="338">
        <f>C179</f>
        <v>24901797.973632</v>
      </c>
      <c r="B1" s="339"/>
      <c r="C1" s="339"/>
      <c r="E1" s="340">
        <f>G179</f>
        <v>42678868.987392008</v>
      </c>
      <c r="F1" s="341"/>
      <c r="G1" s="341"/>
      <c r="I1" s="342">
        <f>K179</f>
        <v>79391064.499420002</v>
      </c>
      <c r="J1" s="343"/>
      <c r="K1" s="343"/>
      <c r="L1" s="174">
        <v>0.5</v>
      </c>
      <c r="N1" s="342">
        <f>P179</f>
        <v>69017676.699832678</v>
      </c>
      <c r="O1" s="343"/>
      <c r="P1" s="343"/>
      <c r="Q1" s="323">
        <f>1-AB1</f>
        <v>0.5</v>
      </c>
      <c r="T1" s="39"/>
      <c r="U1" s="344">
        <f>W179</f>
        <v>120479312.31286299</v>
      </c>
      <c r="V1" s="345"/>
      <c r="W1" s="345"/>
      <c r="X1" s="176">
        <v>0.5</v>
      </c>
      <c r="Y1" s="344">
        <f>AA179</f>
        <v>93974046.668358833</v>
      </c>
      <c r="Z1" s="345"/>
      <c r="AA1" s="345"/>
      <c r="AB1" s="298">
        <f>'Cost year 1-7 what-if'!C7</f>
        <v>0.5</v>
      </c>
      <c r="AE1" s="34">
        <f>AE179</f>
        <v>230572390.32921553</v>
      </c>
      <c r="CR1" s="149"/>
    </row>
    <row r="2" spans="1:100" x14ac:dyDescent="0.25">
      <c r="A2" s="346" t="s">
        <v>259</v>
      </c>
      <c r="B2" s="346"/>
      <c r="C2" s="346"/>
      <c r="E2" s="347" t="s">
        <v>260</v>
      </c>
      <c r="F2" s="347"/>
      <c r="G2" s="347"/>
      <c r="I2" s="348" t="s">
        <v>261</v>
      </c>
      <c r="J2" s="348"/>
      <c r="K2" s="348"/>
      <c r="L2" s="175"/>
      <c r="N2" s="348" t="s">
        <v>261</v>
      </c>
      <c r="O2" s="348"/>
      <c r="P2" s="348"/>
      <c r="Q2" s="324"/>
      <c r="T2" s="39"/>
      <c r="U2" s="349" t="s">
        <v>262</v>
      </c>
      <c r="V2" s="349"/>
      <c r="W2" s="349"/>
      <c r="X2" s="177"/>
      <c r="Y2" s="349" t="s">
        <v>262</v>
      </c>
      <c r="Z2" s="349"/>
      <c r="AA2" s="349"/>
      <c r="AE2" s="35" t="s">
        <v>263</v>
      </c>
    </row>
    <row r="3" spans="1:100" x14ac:dyDescent="0.25">
      <c r="A3" s="36"/>
      <c r="B3" s="36"/>
      <c r="C3" s="36"/>
      <c r="E3" s="37"/>
      <c r="F3" s="37"/>
      <c r="G3" s="37"/>
      <c r="I3" s="38"/>
      <c r="J3" s="38" t="s">
        <v>575</v>
      </c>
      <c r="K3" s="38">
        <v>90000</v>
      </c>
      <c r="L3" s="38"/>
      <c r="N3" s="38"/>
      <c r="O3" s="38" t="s">
        <v>575</v>
      </c>
      <c r="P3" s="38">
        <f>'Cost year 1-7 what-if'!C6-'NCS Recruitment 250 hosp 5 prov'!AA3</f>
        <v>44200</v>
      </c>
      <c r="Q3" s="299">
        <v>90000</v>
      </c>
      <c r="T3" s="39"/>
      <c r="U3" s="39"/>
      <c r="V3" s="39" t="s">
        <v>575</v>
      </c>
      <c r="W3" s="39">
        <v>90000</v>
      </c>
      <c r="X3" s="39"/>
      <c r="Y3" s="39"/>
      <c r="Z3" s="39" t="s">
        <v>575</v>
      </c>
      <c r="AA3" s="39">
        <f>'Cost year 1-7 what-if'!C6*'Cost year 1-7 what-if'!C7</f>
        <v>44200</v>
      </c>
      <c r="AB3" s="299">
        <v>90000</v>
      </c>
      <c r="AE3" s="40"/>
      <c r="CR3" s="149"/>
    </row>
    <row r="4" spans="1:100" x14ac:dyDescent="0.25">
      <c r="A4" s="36"/>
      <c r="B4" s="36"/>
      <c r="C4" s="36"/>
      <c r="E4" s="37"/>
      <c r="F4" s="37" t="s">
        <v>264</v>
      </c>
      <c r="G4" s="37">
        <v>250</v>
      </c>
      <c r="I4" s="38"/>
      <c r="J4" s="38" t="s">
        <v>264</v>
      </c>
      <c r="K4" s="41">
        <v>250</v>
      </c>
      <c r="L4" s="41"/>
      <c r="N4" s="38"/>
      <c r="O4" s="38" t="s">
        <v>264</v>
      </c>
      <c r="P4" s="41">
        <v>250</v>
      </c>
      <c r="Q4" s="300">
        <v>250</v>
      </c>
      <c r="T4" s="39"/>
      <c r="U4" s="39"/>
      <c r="V4" s="39" t="s">
        <v>264</v>
      </c>
      <c r="W4" s="42">
        <v>250</v>
      </c>
      <c r="X4" s="42"/>
      <c r="Y4" s="39"/>
      <c r="Z4" s="39" t="s">
        <v>264</v>
      </c>
      <c r="AA4" s="42">
        <v>250</v>
      </c>
      <c r="AB4" s="300">
        <v>250</v>
      </c>
      <c r="AE4" s="40"/>
    </row>
    <row r="5" spans="1:100" x14ac:dyDescent="0.25">
      <c r="A5" s="36"/>
      <c r="B5" s="36"/>
      <c r="C5" s="36"/>
      <c r="E5" s="37"/>
      <c r="F5" s="37" t="s">
        <v>265</v>
      </c>
      <c r="G5" s="37">
        <v>5</v>
      </c>
      <c r="I5" s="38"/>
      <c r="J5" s="38" t="s">
        <v>265</v>
      </c>
      <c r="K5" s="41">
        <v>5</v>
      </c>
      <c r="L5" s="41"/>
      <c r="N5" s="38"/>
      <c r="O5" s="38" t="s">
        <v>265</v>
      </c>
      <c r="P5" s="41">
        <v>5</v>
      </c>
      <c r="Q5" s="300">
        <v>5</v>
      </c>
      <c r="T5" s="39"/>
      <c r="U5" s="39"/>
      <c r="V5" s="39" t="s">
        <v>265</v>
      </c>
      <c r="W5" s="42">
        <v>5</v>
      </c>
      <c r="X5" s="42"/>
      <c r="Y5" s="39"/>
      <c r="Z5" s="39" t="s">
        <v>265</v>
      </c>
      <c r="AA5" s="42">
        <v>5</v>
      </c>
      <c r="AB5" s="300">
        <v>5</v>
      </c>
      <c r="AE5" s="40"/>
      <c r="CU5" s="190">
        <v>0.25</v>
      </c>
      <c r="CV5" s="33">
        <f>CV7/CR7</f>
        <v>0.75</v>
      </c>
    </row>
    <row r="6" spans="1:100" x14ac:dyDescent="0.25">
      <c r="A6" s="36"/>
      <c r="B6" s="36" t="s">
        <v>264</v>
      </c>
      <c r="C6" s="36">
        <v>250</v>
      </c>
      <c r="E6" s="37"/>
      <c r="F6" s="37" t="s">
        <v>266</v>
      </c>
      <c r="G6" s="37">
        <f>G5*G4</f>
        <v>1250</v>
      </c>
      <c r="I6" s="38"/>
      <c r="J6" s="38" t="s">
        <v>266</v>
      </c>
      <c r="K6" s="41">
        <f>K5*K4</f>
        <v>1250</v>
      </c>
      <c r="L6" s="41"/>
      <c r="N6" s="38"/>
      <c r="O6" s="38" t="s">
        <v>266</v>
      </c>
      <c r="P6" s="41">
        <f>IF(P3&gt;0,P5*P4,0)</f>
        <v>1250</v>
      </c>
      <c r="Q6" s="300">
        <v>1250</v>
      </c>
      <c r="T6" s="39"/>
      <c r="U6" s="39"/>
      <c r="V6" s="39" t="s">
        <v>266</v>
      </c>
      <c r="W6" s="42">
        <f>W5*W4</f>
        <v>1250</v>
      </c>
      <c r="X6" s="42"/>
      <c r="Y6" s="39"/>
      <c r="Z6" s="39" t="s">
        <v>266</v>
      </c>
      <c r="AA6" s="42">
        <f>IF(AA3&gt;0,AA5*AA4,0)</f>
        <v>1250</v>
      </c>
      <c r="AB6" s="300">
        <v>1250</v>
      </c>
      <c r="AE6" s="40"/>
      <c r="CS6" s="33" t="s">
        <v>573</v>
      </c>
      <c r="CT6" s="33" t="s">
        <v>574</v>
      </c>
      <c r="CU6" s="33" t="s">
        <v>573</v>
      </c>
      <c r="CV6" s="33" t="s">
        <v>574</v>
      </c>
    </row>
    <row r="7" spans="1:100" x14ac:dyDescent="0.25">
      <c r="A7" s="36"/>
      <c r="B7" s="36"/>
      <c r="C7" s="36"/>
      <c r="E7" s="37"/>
      <c r="F7" s="37" t="s">
        <v>267</v>
      </c>
      <c r="G7" s="37">
        <v>10</v>
      </c>
      <c r="I7" s="38"/>
      <c r="J7" s="38" t="s">
        <v>268</v>
      </c>
      <c r="K7" s="41">
        <f>K3*L1</f>
        <v>45000</v>
      </c>
      <c r="L7" s="41">
        <f>100*P3/(P3*Q1)</f>
        <v>200</v>
      </c>
      <c r="N7" s="38"/>
      <c r="O7" s="38" t="s">
        <v>268</v>
      </c>
      <c r="P7" s="41">
        <f>P3*Q1</f>
        <v>22100</v>
      </c>
      <c r="Q7" s="300">
        <v>45000</v>
      </c>
      <c r="R7" s="301"/>
      <c r="T7" s="194">
        <f>100*W3/W7</f>
        <v>200</v>
      </c>
      <c r="U7" s="39"/>
      <c r="V7" s="39" t="s">
        <v>268</v>
      </c>
      <c r="W7" s="42">
        <f>W3*X1</f>
        <v>45000</v>
      </c>
      <c r="X7" s="42"/>
      <c r="Y7" s="39"/>
      <c r="Z7" s="39" t="s">
        <v>268</v>
      </c>
      <c r="AA7" s="42">
        <f>AB1*AA3</f>
        <v>22100</v>
      </c>
      <c r="AB7" s="300">
        <v>45000</v>
      </c>
      <c r="AC7" s="301"/>
      <c r="AE7" s="40"/>
      <c r="CR7" s="184">
        <f>AA7+P7</f>
        <v>44200</v>
      </c>
      <c r="CS7" s="184">
        <f>CR7/2</f>
        <v>22100</v>
      </c>
      <c r="CT7" s="184">
        <f>CR7/2</f>
        <v>22100</v>
      </c>
      <c r="CU7" s="184">
        <f>CR7*CU5</f>
        <v>11050</v>
      </c>
      <c r="CV7" s="184">
        <f>SUM(CS7:CT7)-CU7</f>
        <v>33150</v>
      </c>
    </row>
    <row r="8" spans="1:100" x14ac:dyDescent="0.25">
      <c r="A8" s="36" t="s">
        <v>269</v>
      </c>
      <c r="B8" s="43" t="s">
        <v>538</v>
      </c>
      <c r="C8" s="43">
        <v>32</v>
      </c>
      <c r="E8" s="37"/>
      <c r="F8" s="37" t="s">
        <v>270</v>
      </c>
      <c r="G8" s="37">
        <v>5</v>
      </c>
      <c r="I8" s="38"/>
      <c r="J8" s="38" t="s">
        <v>271</v>
      </c>
      <c r="K8" s="41">
        <v>300</v>
      </c>
      <c r="L8" s="41"/>
      <c r="N8" s="38"/>
      <c r="O8" s="38" t="s">
        <v>271</v>
      </c>
      <c r="P8" s="41">
        <f>300-AA8</f>
        <v>150</v>
      </c>
      <c r="Q8" s="300">
        <v>300</v>
      </c>
      <c r="T8" s="39"/>
      <c r="U8" s="39"/>
      <c r="V8" s="39"/>
      <c r="W8" s="42"/>
      <c r="X8" s="42"/>
      <c r="Y8" s="39"/>
      <c r="Z8" s="39" t="s">
        <v>637</v>
      </c>
      <c r="AA8" s="42">
        <f>300*'Cost year 1-7 what-if'!C7</f>
        <v>150</v>
      </c>
      <c r="AB8" s="300"/>
      <c r="AE8" s="40"/>
    </row>
    <row r="9" spans="1:100" x14ac:dyDescent="0.25">
      <c r="A9" s="36"/>
      <c r="B9" s="43"/>
      <c r="C9" s="43"/>
      <c r="E9" s="37"/>
      <c r="F9" s="37"/>
      <c r="G9" s="37"/>
      <c r="I9" s="38"/>
      <c r="J9" s="38"/>
      <c r="K9" s="41"/>
      <c r="L9" s="41"/>
      <c r="N9" s="38"/>
      <c r="O9" s="38"/>
      <c r="P9" s="41"/>
      <c r="Q9" s="300"/>
      <c r="T9" s="39"/>
      <c r="U9" s="39"/>
      <c r="V9" s="39"/>
      <c r="W9" s="42"/>
      <c r="X9" s="42"/>
      <c r="Y9" s="39"/>
      <c r="Z9" s="39"/>
      <c r="AA9" s="42"/>
      <c r="AB9" s="300"/>
      <c r="AE9" s="40"/>
    </row>
    <row r="10" spans="1:100" x14ac:dyDescent="0.25">
      <c r="A10" s="36"/>
      <c r="B10" s="44" t="s">
        <v>539</v>
      </c>
      <c r="C10" s="44">
        <v>16</v>
      </c>
      <c r="E10" s="37"/>
      <c r="F10" s="37"/>
      <c r="G10" s="37"/>
      <c r="I10" s="38"/>
      <c r="J10" s="38"/>
      <c r="K10" s="41"/>
      <c r="L10" s="41"/>
      <c r="N10" s="38"/>
      <c r="O10" s="38"/>
      <c r="P10" s="41"/>
      <c r="Q10" s="300"/>
      <c r="T10" s="39"/>
      <c r="U10" s="39"/>
      <c r="V10" s="39"/>
      <c r="W10" s="42"/>
      <c r="X10" s="42"/>
      <c r="Y10" s="39"/>
      <c r="Z10" s="39"/>
      <c r="AA10" s="42"/>
      <c r="AB10" s="300"/>
      <c r="AE10" s="40"/>
    </row>
    <row r="11" spans="1:100" x14ac:dyDescent="0.25">
      <c r="A11" s="36"/>
      <c r="B11" s="36" t="s">
        <v>272</v>
      </c>
      <c r="C11" s="36">
        <v>4</v>
      </c>
      <c r="E11" s="37" t="s">
        <v>269</v>
      </c>
      <c r="F11" s="45" t="s">
        <v>546</v>
      </c>
      <c r="G11" s="45">
        <v>32</v>
      </c>
      <c r="I11" s="38" t="s">
        <v>273</v>
      </c>
      <c r="J11" s="46" t="s">
        <v>274</v>
      </c>
      <c r="K11" s="47">
        <v>20</v>
      </c>
      <c r="L11" s="47">
        <f>K11*$K$3/$K$7</f>
        <v>40</v>
      </c>
      <c r="N11" s="38" t="s">
        <v>273</v>
      </c>
      <c r="O11" s="46" t="s">
        <v>274</v>
      </c>
      <c r="P11" s="47">
        <f>ROUND(L11*$Q$1,0)</f>
        <v>20</v>
      </c>
      <c r="Q11" s="300">
        <v>33</v>
      </c>
      <c r="R11" s="301">
        <f>P11-Q11</f>
        <v>-13</v>
      </c>
      <c r="T11" s="39">
        <f>W11*$W$3/$W$7</f>
        <v>8</v>
      </c>
      <c r="U11" s="39" t="s">
        <v>275</v>
      </c>
      <c r="V11" s="48" t="s">
        <v>276</v>
      </c>
      <c r="W11" s="49">
        <v>4</v>
      </c>
      <c r="X11" s="49"/>
      <c r="Y11" s="39" t="s">
        <v>275</v>
      </c>
      <c r="Z11" s="48" t="s">
        <v>276</v>
      </c>
      <c r="AA11" s="49">
        <f>T11*$AB$1</f>
        <v>4</v>
      </c>
      <c r="AB11" s="302">
        <v>4</v>
      </c>
      <c r="AC11" s="301">
        <f>AA11-AB11</f>
        <v>0</v>
      </c>
      <c r="AE11" s="40"/>
      <c r="CS11" s="184">
        <f>P11*$CR$7/$CS$7</f>
        <v>40</v>
      </c>
      <c r="CT11" s="184">
        <f>AA11*$CR$7/$CT$7</f>
        <v>8</v>
      </c>
      <c r="CU11" s="184">
        <f>CU$5*CS11</f>
        <v>10</v>
      </c>
      <c r="CV11" s="184">
        <f>CV$5*CT11</f>
        <v>6</v>
      </c>
    </row>
    <row r="12" spans="1:100" x14ac:dyDescent="0.25">
      <c r="A12" s="36"/>
      <c r="B12" s="44" t="s">
        <v>552</v>
      </c>
      <c r="C12" s="44">
        <f>C10*C11</f>
        <v>64</v>
      </c>
      <c r="E12" s="37"/>
      <c r="F12" s="45"/>
      <c r="G12" s="45"/>
      <c r="I12" s="38"/>
      <c r="J12" s="38" t="s">
        <v>277</v>
      </c>
      <c r="K12" s="41">
        <v>12</v>
      </c>
      <c r="L12" s="41"/>
      <c r="N12" s="38"/>
      <c r="O12" s="38" t="s">
        <v>277</v>
      </c>
      <c r="P12" s="41">
        <v>12</v>
      </c>
      <c r="Q12" s="300">
        <v>12</v>
      </c>
      <c r="R12" s="301">
        <f t="shared" ref="R12:R75" si="0">P12-Q12</f>
        <v>0</v>
      </c>
      <c r="T12" s="39"/>
      <c r="U12" s="39"/>
      <c r="V12" s="39" t="s">
        <v>278</v>
      </c>
      <c r="W12" s="42">
        <v>2</v>
      </c>
      <c r="X12" s="42"/>
      <c r="Y12" s="39"/>
      <c r="Z12" s="39" t="s">
        <v>278</v>
      </c>
      <c r="AA12" s="42">
        <v>2</v>
      </c>
      <c r="AB12" s="300">
        <v>2</v>
      </c>
      <c r="AC12" s="301">
        <f t="shared" ref="AC12:AC75" si="1">AA12-AB12</f>
        <v>0</v>
      </c>
      <c r="AE12" s="40"/>
      <c r="CS12" s="184">
        <f>P12</f>
        <v>12</v>
      </c>
    </row>
    <row r="13" spans="1:100" x14ac:dyDescent="0.25">
      <c r="A13" s="36"/>
      <c r="B13" s="36"/>
      <c r="C13" s="36"/>
      <c r="E13" s="37"/>
      <c r="F13" s="50" t="s">
        <v>553</v>
      </c>
      <c r="G13" s="50">
        <v>16</v>
      </c>
      <c r="I13" s="38"/>
      <c r="J13" s="38" t="s">
        <v>279</v>
      </c>
      <c r="K13" s="51">
        <v>4.33</v>
      </c>
      <c r="L13" s="51"/>
      <c r="N13" s="38"/>
      <c r="O13" s="38" t="s">
        <v>279</v>
      </c>
      <c r="P13" s="51">
        <v>4.33</v>
      </c>
      <c r="Q13" s="300">
        <v>4.33</v>
      </c>
      <c r="R13" s="301">
        <f t="shared" si="0"/>
        <v>0</v>
      </c>
      <c r="T13" s="39"/>
      <c r="U13" s="39"/>
      <c r="V13" s="39" t="s">
        <v>279</v>
      </c>
      <c r="W13" s="52">
        <v>4.33</v>
      </c>
      <c r="X13" s="52"/>
      <c r="Y13" s="39"/>
      <c r="Z13" s="39" t="s">
        <v>279</v>
      </c>
      <c r="AA13" s="52">
        <v>4.33</v>
      </c>
      <c r="AB13" s="303">
        <v>4.33</v>
      </c>
      <c r="AC13" s="301">
        <f t="shared" si="1"/>
        <v>0</v>
      </c>
      <c r="AE13" s="40"/>
      <c r="CN13" s="46" t="s">
        <v>274</v>
      </c>
      <c r="CO13" s="47">
        <v>33</v>
      </c>
    </row>
    <row r="14" spans="1:100" x14ac:dyDescent="0.25">
      <c r="A14" s="36" t="s">
        <v>280</v>
      </c>
      <c r="B14" s="53" t="s">
        <v>540</v>
      </c>
      <c r="C14" s="53">
        <v>60</v>
      </c>
      <c r="E14" s="37"/>
      <c r="F14" s="37" t="s">
        <v>272</v>
      </c>
      <c r="G14" s="37">
        <v>4</v>
      </c>
      <c r="I14" s="38"/>
      <c r="J14" s="38" t="s">
        <v>281</v>
      </c>
      <c r="K14" s="41">
        <v>4</v>
      </c>
      <c r="L14" s="41"/>
      <c r="N14" s="38"/>
      <c r="O14" s="38" t="s">
        <v>281</v>
      </c>
      <c r="P14" s="41">
        <v>4</v>
      </c>
      <c r="Q14" s="300">
        <v>4</v>
      </c>
      <c r="R14" s="301">
        <f t="shared" si="0"/>
        <v>0</v>
      </c>
      <c r="T14" s="39"/>
      <c r="U14" s="39"/>
      <c r="V14" s="39" t="s">
        <v>277</v>
      </c>
      <c r="W14" s="42">
        <v>12</v>
      </c>
      <c r="X14" s="42"/>
      <c r="Y14" s="39"/>
      <c r="Z14" s="39" t="s">
        <v>277</v>
      </c>
      <c r="AA14" s="42">
        <v>12</v>
      </c>
      <c r="AB14" s="300">
        <v>12</v>
      </c>
      <c r="AC14" s="301">
        <f t="shared" si="1"/>
        <v>0</v>
      </c>
      <c r="AE14" s="40"/>
      <c r="CN14" s="38" t="s">
        <v>277</v>
      </c>
      <c r="CO14" s="41">
        <v>12</v>
      </c>
    </row>
    <row r="15" spans="1:100" x14ac:dyDescent="0.25">
      <c r="A15" s="36"/>
      <c r="B15" s="36" t="s">
        <v>282</v>
      </c>
      <c r="C15" s="54">
        <v>0.25</v>
      </c>
      <c r="E15" s="37"/>
      <c r="F15" s="50" t="s">
        <v>552</v>
      </c>
      <c r="G15" s="50">
        <f>G13*G14</f>
        <v>64</v>
      </c>
      <c r="I15" s="38"/>
      <c r="J15" s="38" t="s">
        <v>264</v>
      </c>
      <c r="K15" s="41">
        <f>K4</f>
        <v>250</v>
      </c>
      <c r="L15" s="41"/>
      <c r="N15" s="38"/>
      <c r="O15" s="38" t="s">
        <v>264</v>
      </c>
      <c r="P15" s="41">
        <f>P4</f>
        <v>250</v>
      </c>
      <c r="Q15" s="300">
        <v>250</v>
      </c>
      <c r="R15" s="301">
        <f t="shared" si="0"/>
        <v>0</v>
      </c>
      <c r="T15" s="39"/>
      <c r="U15" s="39"/>
      <c r="V15" s="39" t="s">
        <v>281</v>
      </c>
      <c r="W15" s="42">
        <v>4</v>
      </c>
      <c r="X15" s="42"/>
      <c r="Y15" s="39"/>
      <c r="Z15" s="39" t="s">
        <v>281</v>
      </c>
      <c r="AA15" s="42">
        <f>4-1</f>
        <v>3</v>
      </c>
      <c r="AB15" s="300">
        <f>4-1</f>
        <v>3</v>
      </c>
      <c r="AC15" s="301">
        <f t="shared" si="1"/>
        <v>0</v>
      </c>
      <c r="AE15" s="40"/>
      <c r="CN15" s="38" t="s">
        <v>279</v>
      </c>
      <c r="CO15" s="51">
        <v>4.33</v>
      </c>
    </row>
    <row r="16" spans="1:100" x14ac:dyDescent="0.25">
      <c r="A16" s="36"/>
      <c r="B16" s="36" t="s">
        <v>283</v>
      </c>
      <c r="C16" s="36">
        <v>16</v>
      </c>
      <c r="E16" s="37"/>
      <c r="F16" s="37"/>
      <c r="G16" s="37"/>
      <c r="I16" s="38"/>
      <c r="J16" s="46" t="s">
        <v>284</v>
      </c>
      <c r="K16" s="47">
        <f>ROUND(K14*K12*K13*K15*K11,0)</f>
        <v>1039200</v>
      </c>
      <c r="L16" s="47"/>
      <c r="N16" s="38"/>
      <c r="O16" s="46" t="s">
        <v>284</v>
      </c>
      <c r="P16" s="47">
        <f>ROUND(P14*P12*P13*P15*P11,0)</f>
        <v>1039200</v>
      </c>
      <c r="Q16" s="302">
        <v>1714680</v>
      </c>
      <c r="R16" s="301">
        <f t="shared" si="0"/>
        <v>-675480</v>
      </c>
      <c r="T16" s="39"/>
      <c r="U16" s="39"/>
      <c r="V16" s="39" t="s">
        <v>285</v>
      </c>
      <c r="W16" s="42">
        <f>W6</f>
        <v>1250</v>
      </c>
      <c r="X16" s="42"/>
      <c r="Y16" s="39"/>
      <c r="Z16" s="39" t="s">
        <v>285</v>
      </c>
      <c r="AA16" s="42">
        <f>AA6</f>
        <v>1250</v>
      </c>
      <c r="AB16" s="300">
        <v>1250</v>
      </c>
      <c r="AC16" s="301">
        <f t="shared" si="1"/>
        <v>0</v>
      </c>
      <c r="AE16" s="40"/>
      <c r="CN16" s="38" t="s">
        <v>281</v>
      </c>
      <c r="CO16" s="41">
        <v>4</v>
      </c>
    </row>
    <row r="17" spans="1:93" x14ac:dyDescent="0.25">
      <c r="A17" s="36"/>
      <c r="B17" s="36" t="s">
        <v>264</v>
      </c>
      <c r="C17" s="36">
        <f>C6*1.2</f>
        <v>300</v>
      </c>
      <c r="E17" s="37" t="s">
        <v>280</v>
      </c>
      <c r="F17" s="55" t="s">
        <v>540</v>
      </c>
      <c r="G17" s="55">
        <v>60</v>
      </c>
      <c r="I17" s="38"/>
      <c r="J17" s="38"/>
      <c r="K17" s="41"/>
      <c r="L17" s="41"/>
      <c r="N17" s="38"/>
      <c r="O17" s="38"/>
      <c r="P17" s="41"/>
      <c r="Q17" s="300"/>
      <c r="R17" s="301">
        <f t="shared" si="0"/>
        <v>0</v>
      </c>
      <c r="T17" s="39"/>
      <c r="U17" s="39"/>
      <c r="V17" s="48" t="s">
        <v>284</v>
      </c>
      <c r="W17" s="49">
        <f>W11*W12*W13*W14*W15*W16</f>
        <v>2078400</v>
      </c>
      <c r="X17" s="49"/>
      <c r="Y17" s="39"/>
      <c r="Z17" s="48" t="s">
        <v>284</v>
      </c>
      <c r="AA17" s="49">
        <f>AA11*AA12*AA13*AA14*AA15*AA16</f>
        <v>1558800</v>
      </c>
      <c r="AB17" s="302">
        <v>2078400</v>
      </c>
      <c r="AC17" s="301">
        <f t="shared" si="1"/>
        <v>-519600</v>
      </c>
      <c r="AE17" s="40"/>
      <c r="CN17" s="38" t="s">
        <v>264</v>
      </c>
      <c r="CO17" s="41">
        <f>CO6</f>
        <v>0</v>
      </c>
    </row>
    <row r="18" spans="1:93" x14ac:dyDescent="0.25">
      <c r="A18" s="36"/>
      <c r="B18" s="53" t="s">
        <v>541</v>
      </c>
      <c r="C18" s="53">
        <f>C14*C17+C17*C15*C16</f>
        <v>19200</v>
      </c>
      <c r="E18" s="37"/>
      <c r="F18" s="37" t="s">
        <v>282</v>
      </c>
      <c r="G18" s="56">
        <v>0.3</v>
      </c>
      <c r="I18" s="38" t="s">
        <v>286</v>
      </c>
      <c r="J18" s="38" t="s">
        <v>287</v>
      </c>
      <c r="K18" s="41"/>
      <c r="L18" s="41"/>
      <c r="N18" s="38" t="s">
        <v>286</v>
      </c>
      <c r="O18" s="38" t="s">
        <v>287</v>
      </c>
      <c r="P18" s="41"/>
      <c r="Q18" s="300"/>
      <c r="R18" s="301">
        <f t="shared" si="0"/>
        <v>0</v>
      </c>
      <c r="T18" s="39"/>
      <c r="U18" s="39"/>
      <c r="V18" s="39"/>
      <c r="W18" s="42"/>
      <c r="X18" s="42"/>
      <c r="Y18" s="39"/>
      <c r="Z18" s="39"/>
      <c r="AA18" s="42"/>
      <c r="AB18" s="300"/>
      <c r="AC18" s="301">
        <f t="shared" si="1"/>
        <v>0</v>
      </c>
      <c r="AE18" s="40"/>
      <c r="CN18" s="46" t="s">
        <v>284</v>
      </c>
      <c r="CO18" s="47">
        <f>ROUND(CO16*CO14*CO15*CO17*CO13,0)</f>
        <v>0</v>
      </c>
    </row>
    <row r="19" spans="1:93" x14ac:dyDescent="0.25">
      <c r="A19" s="36"/>
      <c r="B19" s="36"/>
      <c r="C19" s="36"/>
      <c r="E19" s="37"/>
      <c r="F19" s="37" t="s">
        <v>283</v>
      </c>
      <c r="G19" s="37">
        <v>16</v>
      </c>
      <c r="I19" s="38"/>
      <c r="J19" s="46" t="s">
        <v>271</v>
      </c>
      <c r="K19" s="47">
        <v>75</v>
      </c>
      <c r="L19" s="47">
        <f>K19*$K$3/$K$7</f>
        <v>150</v>
      </c>
      <c r="N19" s="38"/>
      <c r="O19" s="46" t="s">
        <v>271</v>
      </c>
      <c r="P19" s="47">
        <f>P8</f>
        <v>150</v>
      </c>
      <c r="Q19" s="302">
        <v>75</v>
      </c>
      <c r="R19" s="301">
        <f t="shared" si="0"/>
        <v>75</v>
      </c>
      <c r="T19" s="39"/>
      <c r="U19" s="39" t="s">
        <v>288</v>
      </c>
      <c r="V19" s="39" t="s">
        <v>289</v>
      </c>
      <c r="W19" s="42"/>
      <c r="X19" s="42"/>
      <c r="Y19" s="39" t="s">
        <v>288</v>
      </c>
      <c r="Z19" s="39" t="s">
        <v>289</v>
      </c>
      <c r="AA19" s="42"/>
      <c r="AB19" s="300"/>
      <c r="AC19" s="301">
        <f t="shared" si="1"/>
        <v>0</v>
      </c>
      <c r="AE19" s="40"/>
      <c r="CN19" s="38"/>
      <c r="CO19" s="41"/>
    </row>
    <row r="20" spans="1:93" x14ac:dyDescent="0.25">
      <c r="A20" s="36" t="s">
        <v>570</v>
      </c>
      <c r="B20" s="55" t="s">
        <v>540</v>
      </c>
      <c r="C20" s="55">
        <v>1</v>
      </c>
      <c r="E20" s="37"/>
      <c r="F20" s="37" t="s">
        <v>266</v>
      </c>
      <c r="G20" s="37">
        <f>G6*1.3</f>
        <v>1625</v>
      </c>
      <c r="I20" s="38"/>
      <c r="J20" s="38" t="s">
        <v>291</v>
      </c>
      <c r="K20" s="41">
        <v>1</v>
      </c>
      <c r="L20" s="41"/>
      <c r="N20" s="38"/>
      <c r="O20" s="38" t="s">
        <v>291</v>
      </c>
      <c r="P20" s="41">
        <v>1</v>
      </c>
      <c r="Q20" s="300">
        <v>1</v>
      </c>
      <c r="R20" s="301">
        <f t="shared" si="0"/>
        <v>0</v>
      </c>
      <c r="T20" s="39">
        <f>W20*$W$3/$W$7</f>
        <v>1466</v>
      </c>
      <c r="U20" s="39"/>
      <c r="V20" s="48" t="s">
        <v>271</v>
      </c>
      <c r="W20" s="49">
        <f>ROUND(W17/W15/W14/W13/15*(1+10%),0)</f>
        <v>733</v>
      </c>
      <c r="X20" s="49"/>
      <c r="Y20" s="39"/>
      <c r="Z20" s="48" t="s">
        <v>271</v>
      </c>
      <c r="AA20" s="49">
        <f>AA8</f>
        <v>150</v>
      </c>
      <c r="AB20" s="302">
        <v>733</v>
      </c>
      <c r="AC20" s="301">
        <f t="shared" si="1"/>
        <v>-583</v>
      </c>
      <c r="AE20" s="40"/>
      <c r="CN20" s="38" t="s">
        <v>287</v>
      </c>
      <c r="CO20" s="41"/>
    </row>
    <row r="21" spans="1:93" x14ac:dyDescent="0.25">
      <c r="A21" s="36"/>
      <c r="B21" s="36" t="s">
        <v>568</v>
      </c>
      <c r="C21" s="36">
        <v>100</v>
      </c>
      <c r="E21" s="37"/>
      <c r="F21" s="55" t="s">
        <v>541</v>
      </c>
      <c r="G21" s="55">
        <f>G20*G17+G20*G18*G19</f>
        <v>105300</v>
      </c>
      <c r="I21" s="38"/>
      <c r="J21" s="38" t="s">
        <v>293</v>
      </c>
      <c r="K21" s="41">
        <v>12</v>
      </c>
      <c r="L21" s="41"/>
      <c r="N21" s="38"/>
      <c r="O21" s="38" t="s">
        <v>293</v>
      </c>
      <c r="P21" s="41">
        <v>12</v>
      </c>
      <c r="Q21" s="300">
        <v>12</v>
      </c>
      <c r="R21" s="301">
        <f t="shared" si="0"/>
        <v>0</v>
      </c>
      <c r="T21" s="39"/>
      <c r="U21" s="39"/>
      <c r="V21" s="39" t="s">
        <v>294</v>
      </c>
      <c r="W21" s="42">
        <v>1</v>
      </c>
      <c r="X21" s="42"/>
      <c r="Y21" s="39"/>
      <c r="Z21" s="39" t="s">
        <v>294</v>
      </c>
      <c r="AA21" s="42">
        <v>1</v>
      </c>
      <c r="AB21" s="300">
        <v>1</v>
      </c>
      <c r="AC21" s="301">
        <f t="shared" si="1"/>
        <v>0</v>
      </c>
      <c r="AE21" s="40"/>
      <c r="CN21" s="46" t="s">
        <v>271</v>
      </c>
      <c r="CO21" s="47">
        <f>CO10*0.25</f>
        <v>0</v>
      </c>
    </row>
    <row r="22" spans="1:93" x14ac:dyDescent="0.25">
      <c r="A22" s="36"/>
      <c r="B22" s="36" t="s">
        <v>569</v>
      </c>
      <c r="C22" s="36">
        <v>1</v>
      </c>
      <c r="E22" s="37"/>
      <c r="F22" s="37"/>
      <c r="G22" s="37"/>
      <c r="I22" s="38"/>
      <c r="J22" s="38" t="s">
        <v>296</v>
      </c>
      <c r="K22" s="41">
        <v>16</v>
      </c>
      <c r="L22" s="41"/>
      <c r="N22" s="38"/>
      <c r="O22" s="38" t="s">
        <v>296</v>
      </c>
      <c r="P22" s="41">
        <v>16</v>
      </c>
      <c r="Q22" s="300">
        <v>16</v>
      </c>
      <c r="R22" s="301">
        <f t="shared" si="0"/>
        <v>0</v>
      </c>
      <c r="T22" s="39"/>
      <c r="U22" s="39"/>
      <c r="V22" s="39" t="s">
        <v>297</v>
      </c>
      <c r="W22" s="42">
        <v>6</v>
      </c>
      <c r="X22" s="42"/>
      <c r="Y22" s="39"/>
      <c r="Z22" s="39" t="s">
        <v>297</v>
      </c>
      <c r="AA22" s="42">
        <v>6</v>
      </c>
      <c r="AB22" s="300">
        <v>6</v>
      </c>
      <c r="AC22" s="301">
        <f t="shared" si="1"/>
        <v>0</v>
      </c>
      <c r="AE22" s="40"/>
      <c r="CN22" s="38" t="s">
        <v>291</v>
      </c>
      <c r="CO22" s="41">
        <v>1</v>
      </c>
    </row>
    <row r="23" spans="1:93" x14ac:dyDescent="0.25">
      <c r="A23" s="36"/>
      <c r="B23" s="36" t="s">
        <v>281</v>
      </c>
      <c r="C23" s="36">
        <v>1</v>
      </c>
      <c r="E23" s="37" t="s">
        <v>570</v>
      </c>
      <c r="F23" s="55" t="s">
        <v>540</v>
      </c>
      <c r="G23" s="55">
        <v>1</v>
      </c>
      <c r="I23" s="38"/>
      <c r="J23" s="46" t="s">
        <v>284</v>
      </c>
      <c r="K23" s="47">
        <f>K19*K20*K21*K22</f>
        <v>14400</v>
      </c>
      <c r="L23" s="47"/>
      <c r="N23" s="38"/>
      <c r="O23" s="46" t="s">
        <v>284</v>
      </c>
      <c r="P23" s="47">
        <f>P19*P20*P21*P22</f>
        <v>28800</v>
      </c>
      <c r="Q23" s="302">
        <v>14400</v>
      </c>
      <c r="R23" s="301">
        <f t="shared" si="0"/>
        <v>14400</v>
      </c>
      <c r="T23" s="39"/>
      <c r="U23" s="39"/>
      <c r="V23" s="48" t="s">
        <v>284</v>
      </c>
      <c r="W23" s="49">
        <f>W22*W21*W20</f>
        <v>4398</v>
      </c>
      <c r="X23" s="49"/>
      <c r="Y23" s="39"/>
      <c r="Z23" s="48" t="s">
        <v>284</v>
      </c>
      <c r="AA23" s="49">
        <f>AA22*AA21*AA20</f>
        <v>900</v>
      </c>
      <c r="AB23" s="302">
        <v>4398</v>
      </c>
      <c r="AC23" s="301">
        <f t="shared" si="1"/>
        <v>-3498</v>
      </c>
      <c r="AE23" s="40"/>
      <c r="CN23" s="38" t="s">
        <v>293</v>
      </c>
      <c r="CO23" s="41">
        <v>12</v>
      </c>
    </row>
    <row r="24" spans="1:93" x14ac:dyDescent="0.25">
      <c r="A24" s="36"/>
      <c r="B24" s="53" t="s">
        <v>541</v>
      </c>
      <c r="C24" s="53">
        <f>C20*C21*C6*1.2</f>
        <v>30000</v>
      </c>
      <c r="E24" s="37"/>
      <c r="F24" s="37" t="s">
        <v>568</v>
      </c>
      <c r="G24" s="37">
        <v>0</v>
      </c>
      <c r="I24" s="38"/>
      <c r="J24" s="38"/>
      <c r="K24" s="38"/>
      <c r="L24" s="38"/>
      <c r="N24" s="38"/>
      <c r="O24" s="38"/>
      <c r="P24" s="38"/>
      <c r="R24" s="301">
        <f t="shared" si="0"/>
        <v>0</v>
      </c>
      <c r="T24" s="39"/>
      <c r="U24" s="39"/>
      <c r="V24" s="39"/>
      <c r="W24" s="39"/>
      <c r="X24" s="39"/>
      <c r="Y24" s="39"/>
      <c r="Z24" s="39"/>
      <c r="AA24" s="39"/>
      <c r="AC24" s="301">
        <f t="shared" si="1"/>
        <v>0</v>
      </c>
      <c r="AE24" s="40"/>
      <c r="CN24" s="38" t="s">
        <v>296</v>
      </c>
      <c r="CO24" s="41">
        <v>16</v>
      </c>
    </row>
    <row r="25" spans="1:93" x14ac:dyDescent="0.25">
      <c r="A25" s="36"/>
      <c r="B25" s="36"/>
      <c r="C25" s="36"/>
      <c r="E25" s="37"/>
      <c r="F25" s="37" t="s">
        <v>569</v>
      </c>
      <c r="G25" s="37">
        <v>100</v>
      </c>
      <c r="I25" s="38"/>
      <c r="J25" s="58" t="s">
        <v>543</v>
      </c>
      <c r="K25" s="59">
        <v>2</v>
      </c>
      <c r="L25" s="59"/>
      <c r="N25" s="38"/>
      <c r="O25" s="58" t="s">
        <v>543</v>
      </c>
      <c r="P25" s="59">
        <f>ROUND(K25*Q1,0)</f>
        <v>1</v>
      </c>
      <c r="Q25" s="304">
        <v>2</v>
      </c>
      <c r="R25" s="301">
        <f t="shared" si="0"/>
        <v>-1</v>
      </c>
      <c r="T25" s="39">
        <f>W25*$W$3/$W$7</f>
        <v>2</v>
      </c>
      <c r="U25" s="39"/>
      <c r="V25" s="60" t="s">
        <v>543</v>
      </c>
      <c r="W25" s="61">
        <v>1</v>
      </c>
      <c r="X25" s="61"/>
      <c r="Y25" s="39"/>
      <c r="Z25" s="60" t="s">
        <v>543</v>
      </c>
      <c r="AA25" s="61">
        <f>ROUND(T25*$AB$1,0)</f>
        <v>1</v>
      </c>
      <c r="AB25" s="304">
        <v>1</v>
      </c>
      <c r="AC25" s="301">
        <f t="shared" si="1"/>
        <v>0</v>
      </c>
      <c r="AE25" s="40"/>
      <c r="CN25" s="46" t="s">
        <v>284</v>
      </c>
      <c r="CO25" s="47">
        <f>CO21*CO22*CO23*CO24</f>
        <v>0</v>
      </c>
    </row>
    <row r="26" spans="1:93" x14ac:dyDescent="0.25">
      <c r="A26" s="36" t="s">
        <v>290</v>
      </c>
      <c r="B26" s="53" t="s">
        <v>542</v>
      </c>
      <c r="C26" s="53">
        <f>2-2</f>
        <v>0</v>
      </c>
      <c r="E26" s="37"/>
      <c r="F26" s="37" t="s">
        <v>281</v>
      </c>
      <c r="G26" s="37">
        <v>1</v>
      </c>
      <c r="I26" s="38"/>
      <c r="J26" s="38" t="s">
        <v>291</v>
      </c>
      <c r="K26" s="41">
        <v>1</v>
      </c>
      <c r="L26" s="41"/>
      <c r="N26" s="38"/>
      <c r="O26" s="38" t="s">
        <v>291</v>
      </c>
      <c r="P26" s="41">
        <v>1</v>
      </c>
      <c r="Q26" s="300">
        <v>1</v>
      </c>
      <c r="R26" s="301">
        <f t="shared" si="0"/>
        <v>0</v>
      </c>
      <c r="T26" s="39"/>
      <c r="U26" s="39"/>
      <c r="V26" s="39" t="s">
        <v>294</v>
      </c>
      <c r="W26" s="42">
        <v>1</v>
      </c>
      <c r="X26" s="42"/>
      <c r="Y26" s="39"/>
      <c r="Z26" s="39" t="s">
        <v>294</v>
      </c>
      <c r="AA26" s="42">
        <v>1</v>
      </c>
      <c r="AB26" s="300">
        <v>1</v>
      </c>
      <c r="AC26" s="301">
        <f t="shared" si="1"/>
        <v>0</v>
      </c>
      <c r="AE26" s="40"/>
      <c r="CN26" s="38"/>
      <c r="CO26" s="38"/>
    </row>
    <row r="27" spans="1:93" x14ac:dyDescent="0.25">
      <c r="A27" s="36"/>
      <c r="B27" s="36" t="s">
        <v>292</v>
      </c>
      <c r="C27" s="36">
        <v>32</v>
      </c>
      <c r="E27" s="37"/>
      <c r="F27" s="37"/>
      <c r="G27" s="37"/>
      <c r="I27" s="38"/>
      <c r="J27" s="38" t="s">
        <v>293</v>
      </c>
      <c r="K27" s="41">
        <v>12</v>
      </c>
      <c r="L27" s="41"/>
      <c r="N27" s="38"/>
      <c r="O27" s="38" t="s">
        <v>293</v>
      </c>
      <c r="P27" s="41">
        <v>12</v>
      </c>
      <c r="Q27" s="300">
        <v>12</v>
      </c>
      <c r="R27" s="301">
        <f t="shared" si="0"/>
        <v>0</v>
      </c>
      <c r="T27" s="39"/>
      <c r="U27" s="39"/>
      <c r="V27" s="39" t="s">
        <v>297</v>
      </c>
      <c r="W27" s="42">
        <v>6</v>
      </c>
      <c r="X27" s="42"/>
      <c r="Y27" s="39"/>
      <c r="Z27" s="39" t="s">
        <v>297</v>
      </c>
      <c r="AA27" s="42">
        <v>6</v>
      </c>
      <c r="AB27" s="300">
        <v>6</v>
      </c>
      <c r="AC27" s="301">
        <f t="shared" si="1"/>
        <v>0</v>
      </c>
      <c r="AE27" s="40"/>
      <c r="CN27" s="58" t="s">
        <v>543</v>
      </c>
      <c r="CO27" s="59">
        <v>2</v>
      </c>
    </row>
    <row r="28" spans="1:93" x14ac:dyDescent="0.25">
      <c r="A28" s="36"/>
      <c r="B28" s="36" t="s">
        <v>295</v>
      </c>
      <c r="C28" s="36">
        <v>1</v>
      </c>
      <c r="E28" s="37"/>
      <c r="F28" s="55" t="s">
        <v>541</v>
      </c>
      <c r="G28" s="55">
        <f>G23*G24*G4+G23*G25*G6*1.3</f>
        <v>162500</v>
      </c>
      <c r="I28" s="38"/>
      <c r="J28" s="38" t="s">
        <v>296</v>
      </c>
      <c r="K28" s="41">
        <v>16</v>
      </c>
      <c r="L28" s="41"/>
      <c r="N28" s="38"/>
      <c r="O28" s="38" t="s">
        <v>296</v>
      </c>
      <c r="P28" s="41">
        <v>16</v>
      </c>
      <c r="Q28" s="300">
        <v>16</v>
      </c>
      <c r="R28" s="301">
        <f t="shared" si="0"/>
        <v>0</v>
      </c>
      <c r="T28" s="39"/>
      <c r="U28" s="39"/>
      <c r="V28" s="60" t="s">
        <v>545</v>
      </c>
      <c r="W28" s="61">
        <f>W27*W26*W25</f>
        <v>6</v>
      </c>
      <c r="X28" s="61"/>
      <c r="Y28" s="39"/>
      <c r="Z28" s="60" t="s">
        <v>545</v>
      </c>
      <c r="AA28" s="61">
        <f>AA27*AA26*AA25</f>
        <v>6</v>
      </c>
      <c r="AB28" s="304">
        <v>6</v>
      </c>
      <c r="AC28" s="301">
        <f t="shared" si="1"/>
        <v>0</v>
      </c>
      <c r="AE28" s="40"/>
      <c r="CN28" s="38" t="s">
        <v>291</v>
      </c>
      <c r="CO28" s="41">
        <v>1</v>
      </c>
    </row>
    <row r="29" spans="1:93" x14ac:dyDescent="0.25">
      <c r="A29" s="36"/>
      <c r="B29" s="36" t="s">
        <v>281</v>
      </c>
      <c r="C29" s="36">
        <f>3+1</f>
        <v>4</v>
      </c>
      <c r="E29" s="37"/>
      <c r="F29" s="37"/>
      <c r="G29" s="37"/>
      <c r="I29" s="38"/>
      <c r="J29" s="58" t="s">
        <v>545</v>
      </c>
      <c r="K29" s="59">
        <f>K26*K27*K28*K25</f>
        <v>384</v>
      </c>
      <c r="L29" s="59"/>
      <c r="N29" s="38"/>
      <c r="O29" s="58" t="s">
        <v>545</v>
      </c>
      <c r="P29" s="59">
        <f>P26*P27*P28*P25</f>
        <v>192</v>
      </c>
      <c r="Q29" s="304">
        <v>384</v>
      </c>
      <c r="R29" s="301">
        <f t="shared" si="0"/>
        <v>-192</v>
      </c>
      <c r="T29" s="39"/>
      <c r="U29" s="39"/>
      <c r="V29" s="39"/>
      <c r="W29" s="39"/>
      <c r="X29" s="39"/>
      <c r="Y29" s="39"/>
      <c r="Z29" s="39"/>
      <c r="AA29" s="39"/>
      <c r="AC29" s="301">
        <f t="shared" si="1"/>
        <v>0</v>
      </c>
      <c r="AE29" s="40"/>
      <c r="CN29" s="38" t="s">
        <v>293</v>
      </c>
      <c r="CO29" s="41">
        <v>12</v>
      </c>
    </row>
    <row r="30" spans="1:93" x14ac:dyDescent="0.25">
      <c r="A30" s="36"/>
      <c r="B30" s="53" t="s">
        <v>541</v>
      </c>
      <c r="C30" s="53">
        <f>C26*C27*C28*C29</f>
        <v>0</v>
      </c>
      <c r="E30" s="37" t="s">
        <v>298</v>
      </c>
      <c r="F30" s="55" t="s">
        <v>542</v>
      </c>
      <c r="G30" s="55">
        <v>0</v>
      </c>
      <c r="I30" s="38"/>
      <c r="J30" s="38"/>
      <c r="K30" s="38"/>
      <c r="L30" s="38"/>
      <c r="N30" s="38"/>
      <c r="O30" s="38"/>
      <c r="P30" s="38"/>
      <c r="R30" s="301">
        <f t="shared" si="0"/>
        <v>0</v>
      </c>
      <c r="T30" s="39"/>
      <c r="U30" s="39"/>
      <c r="V30" s="39" t="s">
        <v>301</v>
      </c>
      <c r="W30" s="39"/>
      <c r="X30" s="39"/>
      <c r="Y30" s="39"/>
      <c r="Z30" s="39" t="s">
        <v>301</v>
      </c>
      <c r="AA30" s="39"/>
      <c r="AC30" s="301">
        <f t="shared" si="1"/>
        <v>0</v>
      </c>
      <c r="AE30" s="40"/>
      <c r="CN30" s="38" t="s">
        <v>296</v>
      </c>
      <c r="CO30" s="41">
        <v>16</v>
      </c>
    </row>
    <row r="31" spans="1:93" x14ac:dyDescent="0.25">
      <c r="A31" s="36"/>
      <c r="B31" s="36"/>
      <c r="C31" s="36"/>
      <c r="E31" s="37"/>
      <c r="F31" s="37" t="s">
        <v>292</v>
      </c>
      <c r="G31" s="37">
        <v>32</v>
      </c>
      <c r="I31" s="38"/>
      <c r="J31" s="38" t="s">
        <v>302</v>
      </c>
      <c r="K31" s="38"/>
      <c r="L31" s="38"/>
      <c r="N31" s="38"/>
      <c r="O31" s="38" t="s">
        <v>302</v>
      </c>
      <c r="P31" s="38"/>
      <c r="R31" s="301">
        <f t="shared" si="0"/>
        <v>0</v>
      </c>
      <c r="T31" s="39">
        <f>W31*$W$3/$W$7</f>
        <v>20</v>
      </c>
      <c r="U31" s="39"/>
      <c r="V31" s="48" t="s">
        <v>271</v>
      </c>
      <c r="W31" s="49">
        <v>10</v>
      </c>
      <c r="X31" s="49"/>
      <c r="Y31" s="39"/>
      <c r="Z31" s="48" t="s">
        <v>271</v>
      </c>
      <c r="AA31" s="49">
        <f>ROUND(AA8*1.05,0)</f>
        <v>158</v>
      </c>
      <c r="AB31" s="302">
        <v>10</v>
      </c>
      <c r="AC31" s="301">
        <f t="shared" si="1"/>
        <v>148</v>
      </c>
      <c r="AE31" s="40"/>
      <c r="CN31" s="58" t="s">
        <v>545</v>
      </c>
      <c r="CO31" s="59">
        <f>CO28*CO29*CO30*CO27</f>
        <v>384</v>
      </c>
    </row>
    <row r="32" spans="1:93" x14ac:dyDescent="0.25">
      <c r="A32" s="36" t="s">
        <v>298</v>
      </c>
      <c r="B32" s="53" t="s">
        <v>542</v>
      </c>
      <c r="C32" s="53">
        <f>1-1</f>
        <v>0</v>
      </c>
      <c r="E32" s="37"/>
      <c r="F32" s="37" t="s">
        <v>295</v>
      </c>
      <c r="G32" s="37">
        <v>1</v>
      </c>
      <c r="I32" s="38"/>
      <c r="J32" s="46" t="s">
        <v>271</v>
      </c>
      <c r="K32" s="47">
        <v>225</v>
      </c>
      <c r="L32" s="47">
        <f>K32*$K$3/$K$7</f>
        <v>450</v>
      </c>
      <c r="N32" s="38"/>
      <c r="O32" s="46" t="s">
        <v>271</v>
      </c>
      <c r="P32" s="47">
        <f>ROUND(P8*(1+0.5),0)</f>
        <v>225</v>
      </c>
      <c r="Q32" s="302">
        <v>338</v>
      </c>
      <c r="R32" s="301">
        <f t="shared" si="0"/>
        <v>-113</v>
      </c>
      <c r="T32" s="39"/>
      <c r="U32" s="39"/>
      <c r="V32" s="39" t="s">
        <v>304</v>
      </c>
      <c r="W32" s="42">
        <v>6</v>
      </c>
      <c r="X32" s="42"/>
      <c r="Y32" s="39"/>
      <c r="Z32" s="39" t="s">
        <v>304</v>
      </c>
      <c r="AA32" s="42">
        <f>6-2</f>
        <v>4</v>
      </c>
      <c r="AB32" s="300">
        <v>6</v>
      </c>
      <c r="AC32" s="301">
        <f t="shared" si="1"/>
        <v>-2</v>
      </c>
      <c r="AE32" s="40"/>
      <c r="CN32" s="38"/>
      <c r="CO32" s="38"/>
    </row>
    <row r="33" spans="1:93" x14ac:dyDescent="0.25">
      <c r="A33" s="36"/>
      <c r="B33" s="36" t="s">
        <v>292</v>
      </c>
      <c r="C33" s="36">
        <v>32</v>
      </c>
      <c r="E33" s="37"/>
      <c r="F33" s="37" t="s">
        <v>299</v>
      </c>
      <c r="G33" s="37">
        <v>2</v>
      </c>
      <c r="I33" s="38"/>
      <c r="J33" s="38" t="s">
        <v>305</v>
      </c>
      <c r="K33" s="41">
        <v>3</v>
      </c>
      <c r="L33" s="41"/>
      <c r="N33" s="38"/>
      <c r="O33" s="38" t="s">
        <v>305</v>
      </c>
      <c r="P33" s="41">
        <v>1</v>
      </c>
      <c r="Q33" s="300">
        <v>1</v>
      </c>
      <c r="R33" s="301">
        <f t="shared" si="0"/>
        <v>0</v>
      </c>
      <c r="T33" s="39"/>
      <c r="U33" s="39"/>
      <c r="V33" s="39" t="s">
        <v>297</v>
      </c>
      <c r="W33" s="42">
        <v>6</v>
      </c>
      <c r="X33" s="42"/>
      <c r="Y33" s="39"/>
      <c r="Z33" s="39" t="s">
        <v>297</v>
      </c>
      <c r="AA33" s="42">
        <v>6</v>
      </c>
      <c r="AB33" s="300">
        <v>6</v>
      </c>
      <c r="AC33" s="301">
        <f t="shared" si="1"/>
        <v>0</v>
      </c>
      <c r="AE33" s="40"/>
      <c r="CN33" s="38" t="s">
        <v>302</v>
      </c>
      <c r="CO33" s="38"/>
    </row>
    <row r="34" spans="1:93" x14ac:dyDescent="0.25">
      <c r="A34" s="36"/>
      <c r="B34" s="36" t="s">
        <v>295</v>
      </c>
      <c r="C34" s="36">
        <v>1</v>
      </c>
      <c r="E34" s="37"/>
      <c r="F34" s="37" t="s">
        <v>281</v>
      </c>
      <c r="G34" s="37">
        <v>3</v>
      </c>
      <c r="I34" s="38"/>
      <c r="J34" s="38" t="s">
        <v>281</v>
      </c>
      <c r="K34" s="41">
        <v>3</v>
      </c>
      <c r="L34" s="41"/>
      <c r="N34" s="38"/>
      <c r="O34" s="38" t="s">
        <v>281</v>
      </c>
      <c r="P34" s="41">
        <v>3</v>
      </c>
      <c r="Q34" s="300">
        <v>3</v>
      </c>
      <c r="R34" s="301">
        <f t="shared" si="0"/>
        <v>0</v>
      </c>
      <c r="T34" s="39"/>
      <c r="U34" s="39"/>
      <c r="V34" s="48" t="s">
        <v>284</v>
      </c>
      <c r="W34" s="49">
        <f>W33*W32*W31</f>
        <v>360</v>
      </c>
      <c r="X34" s="49"/>
      <c r="Y34" s="39"/>
      <c r="Z34" s="48" t="s">
        <v>284</v>
      </c>
      <c r="AA34" s="49">
        <f>AA33*AA32*AA31</f>
        <v>3792</v>
      </c>
      <c r="AB34" s="302">
        <v>360</v>
      </c>
      <c r="AC34" s="301">
        <f t="shared" si="1"/>
        <v>3432</v>
      </c>
      <c r="AE34" s="40"/>
      <c r="CN34" s="46" t="s">
        <v>271</v>
      </c>
      <c r="CO34" s="47">
        <f>CO10*0.75</f>
        <v>0</v>
      </c>
    </row>
    <row r="35" spans="1:93" x14ac:dyDescent="0.25">
      <c r="A35" s="36"/>
      <c r="B35" s="36" t="s">
        <v>281</v>
      </c>
      <c r="C35" s="36">
        <v>3</v>
      </c>
      <c r="E35" s="37"/>
      <c r="F35" s="55" t="s">
        <v>541</v>
      </c>
      <c r="G35" s="55">
        <f>G30*G31*G32*G34*G33</f>
        <v>0</v>
      </c>
      <c r="I35" s="38"/>
      <c r="J35" s="38" t="s">
        <v>296</v>
      </c>
      <c r="K35" s="41">
        <v>16</v>
      </c>
      <c r="L35" s="41"/>
      <c r="N35" s="38"/>
      <c r="O35" s="38" t="s">
        <v>296</v>
      </c>
      <c r="P35" s="41">
        <v>16</v>
      </c>
      <c r="Q35" s="300">
        <v>16</v>
      </c>
      <c r="R35" s="301">
        <f t="shared" si="0"/>
        <v>0</v>
      </c>
      <c r="T35" s="39"/>
      <c r="U35" s="39"/>
      <c r="V35" s="39"/>
      <c r="W35" s="39"/>
      <c r="X35" s="39"/>
      <c r="Y35" s="39"/>
      <c r="Z35" s="39"/>
      <c r="AA35" s="39"/>
      <c r="AC35" s="301">
        <f t="shared" si="1"/>
        <v>0</v>
      </c>
      <c r="AE35" s="40"/>
      <c r="CN35" s="38" t="s">
        <v>305</v>
      </c>
      <c r="CO35" s="41">
        <v>3</v>
      </c>
    </row>
    <row r="36" spans="1:93" x14ac:dyDescent="0.25">
      <c r="A36" s="36"/>
      <c r="B36" s="53" t="s">
        <v>541</v>
      </c>
      <c r="C36" s="53">
        <f>C32*C33*C34*C35</f>
        <v>0</v>
      </c>
      <c r="E36" s="37"/>
      <c r="F36" s="55"/>
      <c r="G36" s="37"/>
      <c r="I36" s="38"/>
      <c r="J36" s="46" t="s">
        <v>284</v>
      </c>
      <c r="K36" s="47">
        <f>K32*K33*K34*K35</f>
        <v>32400</v>
      </c>
      <c r="L36" s="47"/>
      <c r="N36" s="38"/>
      <c r="O36" s="46" t="s">
        <v>284</v>
      </c>
      <c r="P36" s="47">
        <f>P32*P33*P34*P35</f>
        <v>10800</v>
      </c>
      <c r="Q36" s="302">
        <v>16224</v>
      </c>
      <c r="R36" s="301">
        <f t="shared" si="0"/>
        <v>-5424</v>
      </c>
      <c r="T36" s="39"/>
      <c r="U36" s="39"/>
      <c r="V36" s="39" t="s">
        <v>301</v>
      </c>
      <c r="W36" s="39"/>
      <c r="X36" s="39"/>
      <c r="Y36" s="39"/>
      <c r="Z36" s="39" t="s">
        <v>301</v>
      </c>
      <c r="AA36" s="39"/>
      <c r="AC36" s="301">
        <f t="shared" si="1"/>
        <v>0</v>
      </c>
      <c r="AE36" s="40"/>
      <c r="CN36" s="38" t="s">
        <v>281</v>
      </c>
      <c r="CO36" s="41">
        <v>3</v>
      </c>
    </row>
    <row r="37" spans="1:93" x14ac:dyDescent="0.25">
      <c r="A37" s="36"/>
      <c r="B37" s="53"/>
      <c r="C37" s="36"/>
      <c r="E37" s="37" t="s">
        <v>300</v>
      </c>
      <c r="F37" s="45" t="s">
        <v>543</v>
      </c>
      <c r="G37" s="45">
        <v>1</v>
      </c>
      <c r="I37" s="38"/>
      <c r="J37" s="38"/>
      <c r="K37" s="41"/>
      <c r="L37" s="41"/>
      <c r="N37" s="38"/>
      <c r="O37" s="38"/>
      <c r="P37" s="41"/>
      <c r="Q37" s="300"/>
      <c r="R37" s="301">
        <f t="shared" si="0"/>
        <v>0</v>
      </c>
      <c r="T37" s="39">
        <f>W37*$W$3/$W$7</f>
        <v>2</v>
      </c>
      <c r="U37" s="39"/>
      <c r="V37" s="60" t="s">
        <v>543</v>
      </c>
      <c r="W37" s="61">
        <v>1</v>
      </c>
      <c r="X37" s="61"/>
      <c r="Y37" s="39"/>
      <c r="Z37" s="60" t="s">
        <v>543</v>
      </c>
      <c r="AA37" s="61">
        <f>ROUND(T37*$AB$1,0)</f>
        <v>1</v>
      </c>
      <c r="AB37" s="304">
        <v>1</v>
      </c>
      <c r="AC37" s="301">
        <f t="shared" si="1"/>
        <v>0</v>
      </c>
      <c r="AE37" s="40"/>
      <c r="CN37" s="38" t="s">
        <v>296</v>
      </c>
      <c r="CO37" s="41">
        <v>16</v>
      </c>
    </row>
    <row r="38" spans="1:93" x14ac:dyDescent="0.25">
      <c r="A38" s="36" t="s">
        <v>300</v>
      </c>
      <c r="B38" s="43" t="s">
        <v>543</v>
      </c>
      <c r="C38" s="43">
        <v>1</v>
      </c>
      <c r="E38" s="37"/>
      <c r="F38" s="45" t="s">
        <v>547</v>
      </c>
      <c r="G38" s="45">
        <v>16</v>
      </c>
      <c r="I38" s="38"/>
      <c r="J38" s="58" t="s">
        <v>543</v>
      </c>
      <c r="K38" s="59">
        <v>2</v>
      </c>
      <c r="L38" s="59">
        <f>K38*$K$3/$K$7</f>
        <v>4</v>
      </c>
      <c r="N38" s="38"/>
      <c r="O38" s="58" t="s">
        <v>543</v>
      </c>
      <c r="P38" s="59">
        <f>ROUND(L38*$Q$1,0)</f>
        <v>2</v>
      </c>
      <c r="Q38" s="304">
        <v>2</v>
      </c>
      <c r="R38" s="301">
        <f t="shared" si="0"/>
        <v>0</v>
      </c>
      <c r="T38" s="39"/>
      <c r="U38" s="39"/>
      <c r="V38" s="39" t="s">
        <v>304</v>
      </c>
      <c r="W38" s="42">
        <v>6</v>
      </c>
      <c r="X38" s="42"/>
      <c r="Y38" s="39"/>
      <c r="Z38" s="39" t="s">
        <v>304</v>
      </c>
      <c r="AA38" s="42">
        <f>6-2</f>
        <v>4</v>
      </c>
      <c r="AB38" s="300">
        <v>6</v>
      </c>
      <c r="AC38" s="301">
        <f t="shared" si="1"/>
        <v>-2</v>
      </c>
      <c r="AE38" s="40"/>
      <c r="CN38" s="46" t="s">
        <v>284</v>
      </c>
      <c r="CO38" s="47">
        <f>CO34*CO35*CO36*CO37</f>
        <v>0</v>
      </c>
    </row>
    <row r="39" spans="1:93" x14ac:dyDescent="0.25">
      <c r="A39" s="36"/>
      <c r="B39" s="43" t="s">
        <v>547</v>
      </c>
      <c r="C39" s="43">
        <v>16</v>
      </c>
      <c r="E39" s="37"/>
      <c r="F39" s="37" t="s">
        <v>303</v>
      </c>
      <c r="G39" s="37">
        <v>4</v>
      </c>
      <c r="I39" s="38"/>
      <c r="J39" s="38" t="s">
        <v>305</v>
      </c>
      <c r="K39" s="41">
        <v>3</v>
      </c>
      <c r="L39" s="41"/>
      <c r="N39" s="38"/>
      <c r="O39" s="38" t="s">
        <v>305</v>
      </c>
      <c r="P39" s="41">
        <v>3</v>
      </c>
      <c r="Q39" s="300">
        <v>3</v>
      </c>
      <c r="R39" s="301">
        <f t="shared" si="0"/>
        <v>0</v>
      </c>
      <c r="T39" s="39"/>
      <c r="U39" s="39"/>
      <c r="V39" s="39" t="s">
        <v>297</v>
      </c>
      <c r="W39" s="42">
        <v>6</v>
      </c>
      <c r="X39" s="42"/>
      <c r="Y39" s="39"/>
      <c r="Z39" s="39" t="s">
        <v>297</v>
      </c>
      <c r="AA39" s="42">
        <v>6</v>
      </c>
      <c r="AB39" s="300">
        <v>6</v>
      </c>
      <c r="AC39" s="301">
        <f t="shared" si="1"/>
        <v>0</v>
      </c>
      <c r="AE39" s="40"/>
      <c r="CN39" s="38"/>
      <c r="CO39" s="41"/>
    </row>
    <row r="40" spans="1:93" x14ac:dyDescent="0.25">
      <c r="A40" s="36"/>
      <c r="B40" s="36" t="s">
        <v>303</v>
      </c>
      <c r="C40" s="36">
        <v>4</v>
      </c>
      <c r="E40" s="37"/>
      <c r="F40" s="45" t="s">
        <v>545</v>
      </c>
      <c r="G40" s="45">
        <f>G38*G39*G37</f>
        <v>64</v>
      </c>
      <c r="I40" s="38"/>
      <c r="J40" s="38" t="s">
        <v>281</v>
      </c>
      <c r="K40" s="41">
        <v>4</v>
      </c>
      <c r="L40" s="41"/>
      <c r="N40" s="38"/>
      <c r="O40" s="38" t="s">
        <v>281</v>
      </c>
      <c r="P40" s="41">
        <v>4</v>
      </c>
      <c r="Q40" s="300">
        <v>4</v>
      </c>
      <c r="R40" s="301">
        <f t="shared" si="0"/>
        <v>0</v>
      </c>
      <c r="T40" s="39"/>
      <c r="U40" s="39"/>
      <c r="V40" s="60" t="s">
        <v>311</v>
      </c>
      <c r="W40" s="61">
        <f>W39*W38*W37</f>
        <v>36</v>
      </c>
      <c r="X40" s="61"/>
      <c r="Y40" s="39"/>
      <c r="Z40" s="60" t="s">
        <v>311</v>
      </c>
      <c r="AA40" s="61">
        <f>AA39*AA38*AA37</f>
        <v>24</v>
      </c>
      <c r="AB40" s="304">
        <v>36</v>
      </c>
      <c r="AC40" s="301">
        <f t="shared" si="1"/>
        <v>-12</v>
      </c>
      <c r="AE40" s="40"/>
      <c r="CN40" s="58" t="s">
        <v>543</v>
      </c>
      <c r="CO40" s="59">
        <v>2</v>
      </c>
    </row>
    <row r="41" spans="1:93" x14ac:dyDescent="0.25">
      <c r="A41" s="36"/>
      <c r="B41" s="43" t="s">
        <v>545</v>
      </c>
      <c r="C41" s="43">
        <f>C39*C40*C38</f>
        <v>64</v>
      </c>
      <c r="E41" s="37"/>
      <c r="F41" s="45"/>
      <c r="G41" s="45"/>
      <c r="I41" s="38"/>
      <c r="J41" s="38" t="s">
        <v>296</v>
      </c>
      <c r="K41" s="41">
        <v>16</v>
      </c>
      <c r="L41" s="41"/>
      <c r="N41" s="38"/>
      <c r="O41" s="38" t="s">
        <v>296</v>
      </c>
      <c r="P41" s="41">
        <v>16</v>
      </c>
      <c r="Q41" s="300">
        <v>16</v>
      </c>
      <c r="R41" s="301">
        <f t="shared" si="0"/>
        <v>0</v>
      </c>
      <c r="T41" s="39"/>
      <c r="U41" s="39"/>
      <c r="V41" s="39"/>
      <c r="W41" s="42"/>
      <c r="X41" s="42"/>
      <c r="Y41" s="39"/>
      <c r="Z41" s="39"/>
      <c r="AA41" s="42"/>
      <c r="AB41" s="300"/>
      <c r="AC41" s="301">
        <f t="shared" si="1"/>
        <v>0</v>
      </c>
      <c r="AE41" s="40"/>
      <c r="CN41" s="38" t="s">
        <v>305</v>
      </c>
      <c r="CO41" s="41">
        <v>3</v>
      </c>
    </row>
    <row r="42" spans="1:93" x14ac:dyDescent="0.25">
      <c r="A42" s="36"/>
      <c r="B42" s="36"/>
      <c r="C42" s="36"/>
      <c r="E42" s="37" t="s">
        <v>306</v>
      </c>
      <c r="F42" s="37" t="s">
        <v>307</v>
      </c>
      <c r="G42" s="37"/>
      <c r="I42" s="38"/>
      <c r="J42" s="58" t="s">
        <v>545</v>
      </c>
      <c r="K42" s="59">
        <f>K38*K39*K40*K41</f>
        <v>384</v>
      </c>
      <c r="L42" s="59"/>
      <c r="N42" s="38"/>
      <c r="O42" s="58" t="s">
        <v>545</v>
      </c>
      <c r="P42" s="59">
        <f>P38*P39*P40*P41</f>
        <v>384</v>
      </c>
      <c r="Q42" s="304">
        <v>384</v>
      </c>
      <c r="R42" s="301">
        <f t="shared" si="0"/>
        <v>0</v>
      </c>
      <c r="T42" s="39">
        <f>W42*$W$3/$W$7</f>
        <v>4</v>
      </c>
      <c r="U42" s="39" t="s">
        <v>312</v>
      </c>
      <c r="V42" s="60" t="s">
        <v>548</v>
      </c>
      <c r="W42" s="61">
        <v>2</v>
      </c>
      <c r="X42" s="61"/>
      <c r="Y42" s="39" t="s">
        <v>312</v>
      </c>
      <c r="Z42" s="60" t="s">
        <v>548</v>
      </c>
      <c r="AA42" s="61">
        <f>T42*$AB$1</f>
        <v>2</v>
      </c>
      <c r="AB42" s="304">
        <v>2</v>
      </c>
      <c r="AC42" s="301">
        <f t="shared" si="1"/>
        <v>0</v>
      </c>
      <c r="AE42" s="40"/>
      <c r="CN42" s="38" t="s">
        <v>281</v>
      </c>
      <c r="CO42" s="41">
        <v>4</v>
      </c>
    </row>
    <row r="43" spans="1:93" x14ac:dyDescent="0.25">
      <c r="A43" s="36" t="s">
        <v>309</v>
      </c>
      <c r="B43" s="53" t="s">
        <v>542</v>
      </c>
      <c r="C43" s="53">
        <v>1</v>
      </c>
      <c r="E43" s="37" t="s">
        <v>308</v>
      </c>
      <c r="F43" s="45" t="s">
        <v>543</v>
      </c>
      <c r="G43" s="45">
        <v>1</v>
      </c>
      <c r="I43" s="38"/>
      <c r="J43" s="38"/>
      <c r="K43" s="41"/>
      <c r="L43" s="41"/>
      <c r="N43" s="38"/>
      <c r="O43" s="38"/>
      <c r="P43" s="41"/>
      <c r="Q43" s="300"/>
      <c r="R43" s="301">
        <f t="shared" si="0"/>
        <v>0</v>
      </c>
      <c r="T43" s="39"/>
      <c r="U43" s="39"/>
      <c r="V43" s="39" t="s">
        <v>313</v>
      </c>
      <c r="W43" s="42">
        <v>20</v>
      </c>
      <c r="X43" s="42"/>
      <c r="Y43" s="39"/>
      <c r="Z43" s="39" t="s">
        <v>313</v>
      </c>
      <c r="AA43" s="42">
        <v>20</v>
      </c>
      <c r="AB43" s="300">
        <v>20</v>
      </c>
      <c r="AC43" s="301">
        <f t="shared" si="1"/>
        <v>0</v>
      </c>
      <c r="AE43" s="40"/>
      <c r="CN43" s="38" t="s">
        <v>296</v>
      </c>
      <c r="CO43" s="41">
        <v>16</v>
      </c>
    </row>
    <row r="44" spans="1:93" x14ac:dyDescent="0.25">
      <c r="A44" s="36" t="s">
        <v>310</v>
      </c>
      <c r="B44" s="36" t="s">
        <v>292</v>
      </c>
      <c r="C44" s="36">
        <v>8</v>
      </c>
      <c r="E44" s="37"/>
      <c r="F44" s="37" t="s">
        <v>292</v>
      </c>
      <c r="G44" s="37">
        <v>0</v>
      </c>
      <c r="I44" s="38" t="s">
        <v>312</v>
      </c>
      <c r="J44" s="58" t="s">
        <v>548</v>
      </c>
      <c r="K44" s="59">
        <v>2</v>
      </c>
      <c r="L44" s="59">
        <f>K44*$K$3/$K$7</f>
        <v>4</v>
      </c>
      <c r="N44" s="38" t="s">
        <v>312</v>
      </c>
      <c r="O44" s="58" t="s">
        <v>548</v>
      </c>
      <c r="P44" s="59">
        <f>L44*$Q$1</f>
        <v>2</v>
      </c>
      <c r="Q44" s="304">
        <v>2</v>
      </c>
      <c r="R44" s="301">
        <f t="shared" si="0"/>
        <v>0</v>
      </c>
      <c r="T44" s="39"/>
      <c r="U44" s="39"/>
      <c r="V44" s="39" t="s">
        <v>293</v>
      </c>
      <c r="W44" s="42">
        <v>12</v>
      </c>
      <c r="X44" s="42"/>
      <c r="Y44" s="39"/>
      <c r="Z44" s="39" t="s">
        <v>293</v>
      </c>
      <c r="AA44" s="42">
        <v>12</v>
      </c>
      <c r="AB44" s="300">
        <v>12</v>
      </c>
      <c r="AC44" s="301">
        <f t="shared" si="1"/>
        <v>0</v>
      </c>
      <c r="AE44" s="40"/>
      <c r="CN44" s="58" t="s">
        <v>545</v>
      </c>
      <c r="CO44" s="59">
        <f>CO40*CO41*CO42*CO43</f>
        <v>384</v>
      </c>
    </row>
    <row r="45" spans="1:93" x14ac:dyDescent="0.25">
      <c r="A45" s="36"/>
      <c r="B45" s="36" t="s">
        <v>295</v>
      </c>
      <c r="C45" s="36">
        <v>1</v>
      </c>
      <c r="E45" s="37"/>
      <c r="F45" s="37" t="s">
        <v>281</v>
      </c>
      <c r="G45" s="37">
        <v>3</v>
      </c>
      <c r="I45" s="38"/>
      <c r="J45" s="38" t="s">
        <v>316</v>
      </c>
      <c r="K45" s="41">
        <v>20</v>
      </c>
      <c r="L45" s="41"/>
      <c r="N45" s="38"/>
      <c r="O45" s="38" t="s">
        <v>316</v>
      </c>
      <c r="P45" s="41">
        <v>20</v>
      </c>
      <c r="Q45" s="300">
        <v>20</v>
      </c>
      <c r="R45" s="301">
        <f t="shared" si="0"/>
        <v>0</v>
      </c>
      <c r="T45" s="39"/>
      <c r="U45" s="39"/>
      <c r="V45" s="39" t="s">
        <v>281</v>
      </c>
      <c r="W45" s="42">
        <v>4</v>
      </c>
      <c r="X45" s="42"/>
      <c r="Y45" s="39"/>
      <c r="Z45" s="39" t="s">
        <v>281</v>
      </c>
      <c r="AA45" s="42">
        <f>4-1</f>
        <v>3</v>
      </c>
      <c r="AB45" s="300">
        <v>4</v>
      </c>
      <c r="AC45" s="301">
        <f t="shared" si="1"/>
        <v>-1</v>
      </c>
      <c r="AE45" s="40"/>
      <c r="CN45" s="38"/>
      <c r="CO45" s="41"/>
    </row>
    <row r="46" spans="1:93" x14ac:dyDescent="0.25">
      <c r="A46" s="36"/>
      <c r="B46" s="36" t="s">
        <v>281</v>
      </c>
      <c r="C46" s="36">
        <f>3+1</f>
        <v>4</v>
      </c>
      <c r="E46" s="37"/>
      <c r="F46" s="37" t="s">
        <v>267</v>
      </c>
      <c r="G46" s="37">
        <f>$G$7</f>
        <v>10</v>
      </c>
      <c r="I46" s="38"/>
      <c r="J46" s="38" t="s">
        <v>293</v>
      </c>
      <c r="K46" s="41">
        <v>12</v>
      </c>
      <c r="L46" s="41"/>
      <c r="N46" s="38"/>
      <c r="O46" s="38" t="s">
        <v>293</v>
      </c>
      <c r="P46" s="41">
        <v>12</v>
      </c>
      <c r="Q46" s="300">
        <v>12</v>
      </c>
      <c r="R46" s="301">
        <f t="shared" si="0"/>
        <v>0</v>
      </c>
      <c r="T46" s="39"/>
      <c r="U46" s="39"/>
      <c r="V46" s="60" t="s">
        <v>545</v>
      </c>
      <c r="W46" s="61">
        <f>W42*W43*W44*W45</f>
        <v>1920</v>
      </c>
      <c r="X46" s="61"/>
      <c r="Y46" s="39"/>
      <c r="Z46" s="60" t="s">
        <v>545</v>
      </c>
      <c r="AA46" s="61">
        <f>AA42*AA43*AA44*AA45</f>
        <v>1440</v>
      </c>
      <c r="AB46" s="304">
        <v>1920</v>
      </c>
      <c r="AC46" s="301">
        <f t="shared" si="1"/>
        <v>-480</v>
      </c>
      <c r="AE46" s="40"/>
      <c r="CN46" s="58" t="s">
        <v>548</v>
      </c>
      <c r="CO46" s="59">
        <v>2</v>
      </c>
    </row>
    <row r="47" spans="1:93" x14ac:dyDescent="0.25">
      <c r="A47" s="36"/>
      <c r="B47" s="36" t="s">
        <v>264</v>
      </c>
      <c r="C47" s="36">
        <f>$C$6</f>
        <v>250</v>
      </c>
      <c r="E47" s="37"/>
      <c r="F47" s="45" t="s">
        <v>545</v>
      </c>
      <c r="G47" s="45">
        <f>G43*G44*G46*G45</f>
        <v>0</v>
      </c>
      <c r="I47" s="38"/>
      <c r="J47" s="38" t="s">
        <v>281</v>
      </c>
      <c r="K47" s="41">
        <v>4</v>
      </c>
      <c r="L47" s="41"/>
      <c r="N47" s="38"/>
      <c r="O47" s="38" t="s">
        <v>281</v>
      </c>
      <c r="P47" s="41">
        <v>4</v>
      </c>
      <c r="Q47" s="300">
        <v>4</v>
      </c>
      <c r="R47" s="301">
        <f t="shared" si="0"/>
        <v>0</v>
      </c>
      <c r="T47" s="39"/>
      <c r="U47" s="39"/>
      <c r="V47" s="39"/>
      <c r="W47" s="42"/>
      <c r="X47" s="42"/>
      <c r="Y47" s="39"/>
      <c r="Z47" s="39"/>
      <c r="AA47" s="42"/>
      <c r="AB47" s="300"/>
      <c r="AC47" s="301">
        <f t="shared" si="1"/>
        <v>0</v>
      </c>
      <c r="AE47" s="40"/>
      <c r="CN47" s="38" t="s">
        <v>316</v>
      </c>
      <c r="CO47" s="41">
        <v>20</v>
      </c>
    </row>
    <row r="48" spans="1:93" x14ac:dyDescent="0.25">
      <c r="A48" s="36"/>
      <c r="B48" s="53" t="s">
        <v>541</v>
      </c>
      <c r="C48" s="53">
        <f>C43*C44*C45*C47*C46</f>
        <v>8000</v>
      </c>
      <c r="E48" s="37"/>
      <c r="F48" s="45"/>
      <c r="G48" s="45"/>
      <c r="I48" s="38"/>
      <c r="J48" s="58" t="s">
        <v>545</v>
      </c>
      <c r="K48" s="59">
        <f>K44*K45*K46*K47</f>
        <v>1920</v>
      </c>
      <c r="L48" s="59"/>
      <c r="N48" s="38"/>
      <c r="O48" s="58" t="s">
        <v>545</v>
      </c>
      <c r="P48" s="59">
        <f>P44*P45*P46*P47</f>
        <v>1920</v>
      </c>
      <c r="Q48" s="304">
        <v>1920</v>
      </c>
      <c r="R48" s="301">
        <f t="shared" si="0"/>
        <v>0</v>
      </c>
      <c r="T48" s="39">
        <f>W48*$W$3/$W$7</f>
        <v>2</v>
      </c>
      <c r="U48" s="39" t="s">
        <v>317</v>
      </c>
      <c r="V48" s="62" t="s">
        <v>554</v>
      </c>
      <c r="W48" s="63">
        <v>1</v>
      </c>
      <c r="X48" s="63"/>
      <c r="Y48" s="39" t="s">
        <v>317</v>
      </c>
      <c r="Z48" s="62" t="s">
        <v>554</v>
      </c>
      <c r="AA48" s="63">
        <f>T48*$AB$1</f>
        <v>1</v>
      </c>
      <c r="AB48" s="305">
        <v>1</v>
      </c>
      <c r="AC48" s="301">
        <f t="shared" si="1"/>
        <v>0</v>
      </c>
      <c r="AE48" s="40"/>
      <c r="CN48" s="38" t="s">
        <v>293</v>
      </c>
      <c r="CO48" s="41">
        <v>12</v>
      </c>
    </row>
    <row r="49" spans="1:93" x14ac:dyDescent="0.25">
      <c r="A49" s="36"/>
      <c r="B49" s="36"/>
      <c r="C49" s="36"/>
      <c r="E49" s="37"/>
      <c r="F49" s="37" t="s">
        <v>307</v>
      </c>
      <c r="G49" s="37"/>
      <c r="I49" s="38"/>
      <c r="J49" s="38"/>
      <c r="K49" s="41"/>
      <c r="L49" s="41"/>
      <c r="N49" s="38"/>
      <c r="O49" s="38"/>
      <c r="P49" s="41"/>
      <c r="Q49" s="300"/>
      <c r="R49" s="301">
        <f t="shared" si="0"/>
        <v>0</v>
      </c>
      <c r="T49" s="39"/>
      <c r="U49" s="39" t="s">
        <v>319</v>
      </c>
      <c r="V49" s="39" t="s">
        <v>320</v>
      </c>
      <c r="W49" s="42">
        <f>W6</f>
        <v>1250</v>
      </c>
      <c r="X49" s="42"/>
      <c r="Y49" s="39" t="s">
        <v>319</v>
      </c>
      <c r="Z49" s="39" t="s">
        <v>320</v>
      </c>
      <c r="AA49" s="42">
        <f>AA6</f>
        <v>1250</v>
      </c>
      <c r="AB49" s="300">
        <v>1250</v>
      </c>
      <c r="AC49" s="301">
        <f t="shared" si="1"/>
        <v>0</v>
      </c>
      <c r="AE49" s="40"/>
      <c r="CN49" s="38" t="s">
        <v>281</v>
      </c>
      <c r="CO49" s="41">
        <v>4</v>
      </c>
    </row>
    <row r="50" spans="1:93" x14ac:dyDescent="0.25">
      <c r="A50" s="36" t="s">
        <v>314</v>
      </c>
      <c r="B50" s="43" t="s">
        <v>543</v>
      </c>
      <c r="C50" s="43">
        <f>1-1</f>
        <v>0</v>
      </c>
      <c r="E50" s="37"/>
      <c r="F50" s="50" t="s">
        <v>550</v>
      </c>
      <c r="G50" s="50">
        <v>1</v>
      </c>
      <c r="I50" s="178" t="s">
        <v>317</v>
      </c>
      <c r="J50" s="182" t="s">
        <v>554</v>
      </c>
      <c r="K50" s="183">
        <v>0</v>
      </c>
      <c r="L50" s="183"/>
      <c r="N50" s="178" t="s">
        <v>317</v>
      </c>
      <c r="O50" s="182" t="s">
        <v>554</v>
      </c>
      <c r="P50" s="183">
        <v>0</v>
      </c>
      <c r="Q50" s="305">
        <v>0</v>
      </c>
      <c r="R50" s="301">
        <f t="shared" si="0"/>
        <v>0</v>
      </c>
      <c r="T50" s="39"/>
      <c r="U50" s="39"/>
      <c r="V50" s="39" t="s">
        <v>293</v>
      </c>
      <c r="W50" s="42">
        <v>12</v>
      </c>
      <c r="X50" s="42"/>
      <c r="Y50" s="39"/>
      <c r="Z50" s="39" t="s">
        <v>293</v>
      </c>
      <c r="AA50" s="42">
        <v>12</v>
      </c>
      <c r="AB50" s="300">
        <v>12</v>
      </c>
      <c r="AC50" s="301">
        <f t="shared" si="1"/>
        <v>0</v>
      </c>
      <c r="AE50" s="40"/>
      <c r="CN50" s="58" t="s">
        <v>545</v>
      </c>
      <c r="CO50" s="59">
        <f>CO46*CO47*CO48*CO49</f>
        <v>1920</v>
      </c>
    </row>
    <row r="51" spans="1:93" x14ac:dyDescent="0.25">
      <c r="A51" s="36" t="s">
        <v>315</v>
      </c>
      <c r="B51" s="43" t="s">
        <v>544</v>
      </c>
      <c r="C51" s="43">
        <v>1</v>
      </c>
      <c r="E51" s="37"/>
      <c r="F51" s="37" t="s">
        <v>292</v>
      </c>
      <c r="G51" s="37">
        <v>0</v>
      </c>
      <c r="I51" s="178" t="s">
        <v>319</v>
      </c>
      <c r="J51" s="178" t="s">
        <v>320</v>
      </c>
      <c r="K51" s="181">
        <v>0</v>
      </c>
      <c r="L51" s="181"/>
      <c r="N51" s="178" t="s">
        <v>319</v>
      </c>
      <c r="O51" s="178" t="s">
        <v>320</v>
      </c>
      <c r="P51" s="181">
        <v>0</v>
      </c>
      <c r="Q51" s="300">
        <v>0</v>
      </c>
      <c r="R51" s="301">
        <f t="shared" si="0"/>
        <v>0</v>
      </c>
      <c r="T51" s="39"/>
      <c r="U51" s="39"/>
      <c r="V51" s="39" t="s">
        <v>281</v>
      </c>
      <c r="W51" s="42">
        <v>4</v>
      </c>
      <c r="X51" s="42"/>
      <c r="Y51" s="39"/>
      <c r="Z51" s="39" t="s">
        <v>281</v>
      </c>
      <c r="AA51" s="42">
        <f>4-1</f>
        <v>3</v>
      </c>
      <c r="AB51" s="300">
        <v>4</v>
      </c>
      <c r="AC51" s="301">
        <f t="shared" si="1"/>
        <v>-1</v>
      </c>
      <c r="AE51" s="40"/>
      <c r="CN51" s="38"/>
      <c r="CO51" s="41"/>
    </row>
    <row r="52" spans="1:93" x14ac:dyDescent="0.25">
      <c r="A52" s="36"/>
      <c r="B52" s="36" t="s">
        <v>277</v>
      </c>
      <c r="C52" s="36">
        <v>12</v>
      </c>
      <c r="E52" s="37"/>
      <c r="F52" s="37" t="s">
        <v>281</v>
      </c>
      <c r="G52" s="37">
        <v>3</v>
      </c>
      <c r="I52" s="178"/>
      <c r="J52" s="178" t="s">
        <v>293</v>
      </c>
      <c r="K52" s="181">
        <v>0</v>
      </c>
      <c r="L52" s="181"/>
      <c r="N52" s="178"/>
      <c r="O52" s="178" t="s">
        <v>293</v>
      </c>
      <c r="P52" s="181">
        <v>0</v>
      </c>
      <c r="Q52" s="300">
        <v>0</v>
      </c>
      <c r="R52" s="301">
        <f t="shared" si="0"/>
        <v>0</v>
      </c>
      <c r="T52" s="39"/>
      <c r="U52" s="39"/>
      <c r="V52" s="62" t="s">
        <v>555</v>
      </c>
      <c r="W52" s="63">
        <f>W48*W49*W50*W51</f>
        <v>60000</v>
      </c>
      <c r="X52" s="63"/>
      <c r="Y52" s="39"/>
      <c r="Z52" s="62" t="s">
        <v>555</v>
      </c>
      <c r="AA52" s="63">
        <f>AA48*AA49*AA50*AA51</f>
        <v>45000</v>
      </c>
      <c r="AB52" s="305">
        <v>60000</v>
      </c>
      <c r="AC52" s="301">
        <f t="shared" si="1"/>
        <v>-15000</v>
      </c>
      <c r="AE52" s="40"/>
      <c r="CN52" s="182" t="s">
        <v>554</v>
      </c>
      <c r="CO52" s="183">
        <v>0</v>
      </c>
    </row>
    <row r="53" spans="1:93" x14ac:dyDescent="0.25">
      <c r="A53" s="36"/>
      <c r="B53" s="36" t="s">
        <v>281</v>
      </c>
      <c r="C53" s="36">
        <v>3</v>
      </c>
      <c r="E53" s="37"/>
      <c r="F53" s="37" t="s">
        <v>267</v>
      </c>
      <c r="G53" s="37">
        <f>$G$7</f>
        <v>10</v>
      </c>
      <c r="I53" s="178"/>
      <c r="J53" s="178" t="s">
        <v>281</v>
      </c>
      <c r="K53" s="181">
        <v>0</v>
      </c>
      <c r="L53" s="181"/>
      <c r="N53" s="178"/>
      <c r="O53" s="178" t="s">
        <v>281</v>
      </c>
      <c r="P53" s="181">
        <v>0</v>
      </c>
      <c r="Q53" s="300">
        <v>0</v>
      </c>
      <c r="R53" s="301">
        <f t="shared" si="0"/>
        <v>0</v>
      </c>
      <c r="T53" s="39"/>
      <c r="U53" s="39"/>
      <c r="V53" s="39"/>
      <c r="W53" s="39"/>
      <c r="X53" s="39"/>
      <c r="Y53" s="39"/>
      <c r="Z53" s="39"/>
      <c r="AA53" s="39"/>
      <c r="AC53" s="301">
        <f t="shared" si="1"/>
        <v>0</v>
      </c>
      <c r="AE53" s="40"/>
      <c r="CN53" s="178" t="s">
        <v>320</v>
      </c>
      <c r="CO53" s="181">
        <v>0</v>
      </c>
    </row>
    <row r="54" spans="1:93" x14ac:dyDescent="0.25">
      <c r="A54" s="36"/>
      <c r="B54" s="36" t="s">
        <v>264</v>
      </c>
      <c r="C54" s="36">
        <f>$C$6</f>
        <v>250</v>
      </c>
      <c r="E54" s="37"/>
      <c r="F54" s="50" t="s">
        <v>551</v>
      </c>
      <c r="G54" s="50">
        <f>G50*G51*G53*G52</f>
        <v>0</v>
      </c>
      <c r="I54" s="178"/>
      <c r="J54" s="182" t="s">
        <v>555</v>
      </c>
      <c r="K54" s="183">
        <f>K50*K51*K52*K53</f>
        <v>0</v>
      </c>
      <c r="L54" s="183"/>
      <c r="N54" s="178"/>
      <c r="O54" s="182" t="s">
        <v>555</v>
      </c>
      <c r="P54" s="183">
        <f>P50*P51*P52*P53</f>
        <v>0</v>
      </c>
      <c r="Q54" s="305">
        <v>0</v>
      </c>
      <c r="R54" s="301">
        <f t="shared" si="0"/>
        <v>0</v>
      </c>
      <c r="T54" s="39"/>
      <c r="U54" s="39" t="s">
        <v>325</v>
      </c>
      <c r="V54" s="39" t="s">
        <v>326</v>
      </c>
      <c r="W54" s="64">
        <v>0.1</v>
      </c>
      <c r="X54" s="64"/>
      <c r="Y54" s="39" t="s">
        <v>325</v>
      </c>
      <c r="Z54" s="39" t="s">
        <v>326</v>
      </c>
      <c r="AA54" s="64">
        <v>0.1</v>
      </c>
      <c r="AB54" s="306">
        <v>0.1</v>
      </c>
      <c r="AC54" s="301">
        <f t="shared" si="1"/>
        <v>0</v>
      </c>
      <c r="AE54" s="40"/>
      <c r="CN54" s="178" t="s">
        <v>293</v>
      </c>
      <c r="CO54" s="181">
        <v>0</v>
      </c>
    </row>
    <row r="55" spans="1:93" x14ac:dyDescent="0.25">
      <c r="A55" s="36"/>
      <c r="B55" s="43" t="s">
        <v>545</v>
      </c>
      <c r="C55" s="43">
        <f>C50*C51*C52*C53*C54</f>
        <v>0</v>
      </c>
      <c r="E55" s="37"/>
      <c r="F55" s="37"/>
      <c r="G55" s="37"/>
      <c r="I55" s="38"/>
      <c r="J55" s="38"/>
      <c r="K55" s="38"/>
      <c r="L55" s="38"/>
      <c r="N55" s="38"/>
      <c r="O55" s="38"/>
      <c r="P55" s="38"/>
      <c r="R55" s="301">
        <f t="shared" si="0"/>
        <v>0</v>
      </c>
      <c r="T55" s="39"/>
      <c r="U55" s="39"/>
      <c r="V55" s="65" t="s">
        <v>327</v>
      </c>
      <c r="W55" s="66">
        <f>ROUND(W54*W17/3,0)</f>
        <v>69280</v>
      </c>
      <c r="X55" s="66"/>
      <c r="Y55" s="39"/>
      <c r="Z55" s="65" t="s">
        <v>327</v>
      </c>
      <c r="AA55" s="66">
        <f>ROUND(AA54*AA17/3,0)</f>
        <v>51960</v>
      </c>
      <c r="AB55" s="307">
        <v>69280</v>
      </c>
      <c r="AC55" s="301">
        <f t="shared" si="1"/>
        <v>-17320</v>
      </c>
      <c r="AE55" s="40"/>
      <c r="CN55" s="178" t="s">
        <v>281</v>
      </c>
      <c r="CO55" s="181">
        <v>0</v>
      </c>
    </row>
    <row r="56" spans="1:93" x14ac:dyDescent="0.25">
      <c r="A56" s="36"/>
      <c r="B56" s="36"/>
      <c r="C56" s="36"/>
      <c r="E56" s="37"/>
      <c r="F56" s="37" t="s">
        <v>318</v>
      </c>
      <c r="G56" s="37"/>
      <c r="I56" s="38" t="s">
        <v>328</v>
      </c>
      <c r="J56" s="38" t="s">
        <v>329</v>
      </c>
      <c r="K56" s="67">
        <f>20%/3</f>
        <v>6.6666666666666666E-2</v>
      </c>
      <c r="L56" s="67"/>
      <c r="N56" s="38" t="s">
        <v>328</v>
      </c>
      <c r="O56" s="38" t="s">
        <v>329</v>
      </c>
      <c r="P56" s="67">
        <f>20%/3</f>
        <v>6.6666666666666666E-2</v>
      </c>
      <c r="Q56" s="310">
        <v>6.6666666666666666E-2</v>
      </c>
      <c r="R56" s="301">
        <f t="shared" si="0"/>
        <v>0</v>
      </c>
      <c r="T56" s="39"/>
      <c r="U56" s="39"/>
      <c r="V56" s="65" t="s">
        <v>330</v>
      </c>
      <c r="W56" s="66">
        <f>ROUND(W54*W17/3,0)</f>
        <v>69280</v>
      </c>
      <c r="X56" s="66"/>
      <c r="Y56" s="39"/>
      <c r="Z56" s="65" t="s">
        <v>330</v>
      </c>
      <c r="AA56" s="66">
        <f>ROUND(AA54*AA17/3,0)</f>
        <v>51960</v>
      </c>
      <c r="AB56" s="307">
        <v>69280</v>
      </c>
      <c r="AC56" s="301">
        <f t="shared" si="1"/>
        <v>-17320</v>
      </c>
      <c r="AE56" s="40"/>
      <c r="CN56" s="182" t="s">
        <v>555</v>
      </c>
      <c r="CO56" s="183">
        <f>CO52*CO53*CO54*CO55</f>
        <v>0</v>
      </c>
    </row>
    <row r="57" spans="1:93" x14ac:dyDescent="0.25">
      <c r="A57" s="36" t="s">
        <v>321</v>
      </c>
      <c r="B57" s="43" t="s">
        <v>543</v>
      </c>
      <c r="C57" s="43">
        <v>1</v>
      </c>
      <c r="E57" s="37"/>
      <c r="F57" s="45" t="s">
        <v>543</v>
      </c>
      <c r="G57" s="45">
        <f>1-1</f>
        <v>0</v>
      </c>
      <c r="I57" s="38"/>
      <c r="J57" s="69" t="s">
        <v>333</v>
      </c>
      <c r="K57" s="70">
        <f>ROUND(K56*$K$16,0)</f>
        <v>69280</v>
      </c>
      <c r="L57" s="70"/>
      <c r="N57" s="38"/>
      <c r="O57" s="69" t="s">
        <v>333</v>
      </c>
      <c r="P57" s="70">
        <f>ROUND(P56*$P$16,0)</f>
        <v>69280</v>
      </c>
      <c r="Q57" s="307">
        <v>114312</v>
      </c>
      <c r="R57" s="301">
        <f t="shared" si="0"/>
        <v>-45032</v>
      </c>
      <c r="T57" s="39"/>
      <c r="U57" s="39"/>
      <c r="V57" s="65" t="s">
        <v>334</v>
      </c>
      <c r="W57" s="66">
        <f>ROUND(W54*W17/3,0)</f>
        <v>69280</v>
      </c>
      <c r="X57" s="66"/>
      <c r="Y57" s="39"/>
      <c r="Z57" s="65" t="s">
        <v>334</v>
      </c>
      <c r="AA57" s="66">
        <f>ROUND(AA54*AA17/3,0)</f>
        <v>51960</v>
      </c>
      <c r="AB57" s="307">
        <v>69280</v>
      </c>
      <c r="AC57" s="301">
        <f t="shared" si="1"/>
        <v>-17320</v>
      </c>
      <c r="AE57" s="40"/>
      <c r="CN57" s="38"/>
      <c r="CO57" s="38"/>
    </row>
    <row r="58" spans="1:93" x14ac:dyDescent="0.25">
      <c r="A58" s="36" t="s">
        <v>315</v>
      </c>
      <c r="B58" s="43" t="s">
        <v>549</v>
      </c>
      <c r="C58" s="43">
        <v>0</v>
      </c>
      <c r="E58" s="37"/>
      <c r="F58" s="37" t="s">
        <v>322</v>
      </c>
      <c r="G58" s="37">
        <v>4</v>
      </c>
      <c r="I58" s="38"/>
      <c r="J58" s="69" t="s">
        <v>336</v>
      </c>
      <c r="K58" s="70">
        <f>ROUND(K56*$K$16,0)</f>
        <v>69280</v>
      </c>
      <c r="L58" s="70"/>
      <c r="N58" s="38"/>
      <c r="O58" s="69" t="s">
        <v>336</v>
      </c>
      <c r="P58" s="70">
        <f>ROUND(P56*$P$16,0)</f>
        <v>69280</v>
      </c>
      <c r="Q58" s="307">
        <v>114312</v>
      </c>
      <c r="R58" s="301">
        <f t="shared" si="0"/>
        <v>-45032</v>
      </c>
      <c r="T58" s="39"/>
      <c r="U58" s="39"/>
      <c r="V58" s="39"/>
      <c r="W58" s="39"/>
      <c r="X58" s="39"/>
      <c r="Y58" s="39"/>
      <c r="Z58" s="39"/>
      <c r="AA58" s="39"/>
      <c r="AC58" s="301">
        <f t="shared" si="1"/>
        <v>0</v>
      </c>
      <c r="AE58" s="40"/>
      <c r="CN58" s="38" t="s">
        <v>329</v>
      </c>
      <c r="CO58" s="67">
        <f>20%/3</f>
        <v>6.6666666666666666E-2</v>
      </c>
    </row>
    <row r="59" spans="1:93" x14ac:dyDescent="0.25">
      <c r="A59" s="36"/>
      <c r="B59" s="36" t="s">
        <v>264</v>
      </c>
      <c r="C59" s="36">
        <f>$C$6</f>
        <v>250</v>
      </c>
      <c r="E59" s="37"/>
      <c r="F59" s="37" t="s">
        <v>323</v>
      </c>
      <c r="G59" s="37">
        <v>2</v>
      </c>
      <c r="I59" s="38"/>
      <c r="J59" s="69" t="s">
        <v>337</v>
      </c>
      <c r="K59" s="70">
        <f>ROUND(K56*$K$16,0)</f>
        <v>69280</v>
      </c>
      <c r="L59" s="70"/>
      <c r="N59" s="38"/>
      <c r="O59" s="69" t="s">
        <v>337</v>
      </c>
      <c r="P59" s="70">
        <f>ROUND(P56*$P$16,0)</f>
        <v>69280</v>
      </c>
      <c r="Q59" s="307">
        <v>114312</v>
      </c>
      <c r="R59" s="301">
        <f t="shared" si="0"/>
        <v>-45032</v>
      </c>
      <c r="T59" s="39"/>
      <c r="U59" s="39" t="s">
        <v>338</v>
      </c>
      <c r="V59" s="39" t="s">
        <v>339</v>
      </c>
      <c r="W59" s="71">
        <f>2/60</f>
        <v>3.3333333333333333E-2</v>
      </c>
      <c r="X59" s="71"/>
      <c r="Y59" s="39" t="s">
        <v>338</v>
      </c>
      <c r="Z59" s="39" t="s">
        <v>339</v>
      </c>
      <c r="AA59" s="71">
        <f>2/60</f>
        <v>3.3333333333333333E-2</v>
      </c>
      <c r="AB59" s="308">
        <v>3.3333333333333333E-2</v>
      </c>
      <c r="AC59" s="301">
        <f t="shared" si="1"/>
        <v>0</v>
      </c>
      <c r="AE59" s="40"/>
      <c r="CN59" s="69" t="s">
        <v>333</v>
      </c>
      <c r="CO59" s="70">
        <f>ROUND(CO58*$P$16,0)</f>
        <v>69280</v>
      </c>
    </row>
    <row r="60" spans="1:93" x14ac:dyDescent="0.25">
      <c r="A60" s="36"/>
      <c r="B60" s="36" t="s">
        <v>324</v>
      </c>
      <c r="C60" s="36">
        <v>0</v>
      </c>
      <c r="E60" s="37"/>
      <c r="F60" s="37" t="s">
        <v>281</v>
      </c>
      <c r="G60" s="37">
        <v>3</v>
      </c>
      <c r="I60" s="38"/>
      <c r="J60" s="38"/>
      <c r="K60" s="38"/>
      <c r="L60" s="38"/>
      <c r="N60" s="38"/>
      <c r="O60" s="38"/>
      <c r="P60" s="38"/>
      <c r="R60" s="301">
        <f t="shared" si="0"/>
        <v>0</v>
      </c>
      <c r="T60" s="39">
        <f>W60*$W$3/$W$7</f>
        <v>2400</v>
      </c>
      <c r="U60" s="39" t="s">
        <v>340</v>
      </c>
      <c r="V60" s="39" t="s">
        <v>341</v>
      </c>
      <c r="W60" s="42">
        <v>1200</v>
      </c>
      <c r="X60" s="42"/>
      <c r="Y60" s="39" t="s">
        <v>340</v>
      </c>
      <c r="Z60" s="39" t="s">
        <v>341</v>
      </c>
      <c r="AA60" s="42">
        <f>T60*$AB$1</f>
        <v>1200</v>
      </c>
      <c r="AB60" s="300">
        <v>1200</v>
      </c>
      <c r="AC60" s="301">
        <f t="shared" si="1"/>
        <v>0</v>
      </c>
      <c r="AE60" s="40"/>
      <c r="CN60" s="69" t="s">
        <v>336</v>
      </c>
      <c r="CO60" s="70">
        <f>ROUND(CO58*$P$16,0)</f>
        <v>69280</v>
      </c>
    </row>
    <row r="61" spans="1:93" x14ac:dyDescent="0.25">
      <c r="A61" s="36"/>
      <c r="B61" s="43" t="s">
        <v>545</v>
      </c>
      <c r="C61" s="43">
        <f>C57*C58*C59+C57*C59*C60*3</f>
        <v>0</v>
      </c>
      <c r="E61" s="37"/>
      <c r="F61" s="37" t="s">
        <v>270</v>
      </c>
      <c r="G61" s="37">
        <f>$G$8</f>
        <v>5</v>
      </c>
      <c r="I61" s="38" t="s">
        <v>343</v>
      </c>
      <c r="J61" s="38" t="s">
        <v>344</v>
      </c>
      <c r="K61" s="72">
        <f>2/60</f>
        <v>3.3333333333333333E-2</v>
      </c>
      <c r="L61" s="72"/>
      <c r="N61" s="38" t="s">
        <v>343</v>
      </c>
      <c r="O61" s="38" t="s">
        <v>344</v>
      </c>
      <c r="P61" s="72">
        <f>2/60</f>
        <v>3.3333333333333333E-2</v>
      </c>
      <c r="Q61" s="308">
        <v>3.3333333333333333E-2</v>
      </c>
      <c r="R61" s="301">
        <f t="shared" si="0"/>
        <v>0</v>
      </c>
      <c r="T61" s="39"/>
      <c r="U61" s="39"/>
      <c r="V61" s="39" t="s">
        <v>293</v>
      </c>
      <c r="W61" s="42">
        <v>48</v>
      </c>
      <c r="X61" s="42"/>
      <c r="Y61" s="39"/>
      <c r="Z61" s="39" t="s">
        <v>293</v>
      </c>
      <c r="AA61" s="42">
        <v>48</v>
      </c>
      <c r="AB61" s="300">
        <v>48</v>
      </c>
      <c r="AC61" s="301">
        <f t="shared" si="1"/>
        <v>0</v>
      </c>
      <c r="AE61" s="40"/>
      <c r="CN61" s="69" t="s">
        <v>337</v>
      </c>
      <c r="CO61" s="70">
        <f>ROUND(CO58*$P$16,0)</f>
        <v>69280</v>
      </c>
    </row>
    <row r="62" spans="1:93" x14ac:dyDescent="0.25">
      <c r="A62" s="36"/>
      <c r="B62" s="36"/>
      <c r="C62" s="36"/>
      <c r="E62" s="37"/>
      <c r="F62" s="45" t="s">
        <v>545</v>
      </c>
      <c r="G62" s="45">
        <f>G57*G58*G59*G61*G60</f>
        <v>0</v>
      </c>
      <c r="I62" s="38"/>
      <c r="J62" s="38" t="s">
        <v>345</v>
      </c>
      <c r="K62" s="41">
        <f>90000/2</f>
        <v>45000</v>
      </c>
      <c r="L62" s="41"/>
      <c r="N62" s="38"/>
      <c r="O62" s="38" t="s">
        <v>345</v>
      </c>
      <c r="P62" s="41">
        <f>P3*Q1</f>
        <v>22100</v>
      </c>
      <c r="Q62" s="300">
        <v>45000</v>
      </c>
      <c r="R62" s="301">
        <f t="shared" si="0"/>
        <v>-22900</v>
      </c>
      <c r="T62" s="39"/>
      <c r="U62" s="39"/>
      <c r="V62" s="73" t="s">
        <v>346</v>
      </c>
      <c r="W62" s="74">
        <f>W59*W60*W61</f>
        <v>1920</v>
      </c>
      <c r="X62" s="74"/>
      <c r="Y62" s="39"/>
      <c r="Z62" s="73" t="s">
        <v>346</v>
      </c>
      <c r="AA62" s="74">
        <f>AA59*AA60*AA61</f>
        <v>1920</v>
      </c>
      <c r="AB62" s="309">
        <v>1920</v>
      </c>
      <c r="AC62" s="301">
        <f t="shared" si="1"/>
        <v>0</v>
      </c>
      <c r="AE62" s="40"/>
      <c r="CN62" s="38"/>
      <c r="CO62" s="38"/>
    </row>
    <row r="63" spans="1:93" x14ac:dyDescent="0.25">
      <c r="A63" s="36" t="s">
        <v>331</v>
      </c>
      <c r="B63" s="36" t="s">
        <v>332</v>
      </c>
      <c r="C63" s="68">
        <f>100*1.57</f>
        <v>157</v>
      </c>
      <c r="E63" s="37"/>
      <c r="F63" s="37"/>
      <c r="G63" s="37"/>
      <c r="I63" s="38"/>
      <c r="J63" s="38" t="s">
        <v>346</v>
      </c>
      <c r="K63" s="41">
        <f>K61*K62</f>
        <v>1500</v>
      </c>
      <c r="L63" s="41"/>
      <c r="N63" s="38"/>
      <c r="O63" s="38" t="s">
        <v>346</v>
      </c>
      <c r="P63" s="41">
        <f>P61*P62</f>
        <v>736.66666666666663</v>
      </c>
      <c r="Q63" s="300">
        <v>1500</v>
      </c>
      <c r="R63" s="301">
        <f t="shared" si="0"/>
        <v>-763.33333333333337</v>
      </c>
      <c r="T63" s="39"/>
      <c r="U63" s="39"/>
      <c r="V63" s="39"/>
      <c r="W63" s="39"/>
      <c r="X63" s="39"/>
      <c r="Y63" s="39"/>
      <c r="Z63" s="39"/>
      <c r="AA63" s="39"/>
      <c r="AC63" s="301">
        <f t="shared" si="1"/>
        <v>0</v>
      </c>
      <c r="AE63" s="40"/>
      <c r="CN63" s="38" t="s">
        <v>344</v>
      </c>
      <c r="CO63" s="72">
        <f>2/60</f>
        <v>3.3333333333333333E-2</v>
      </c>
    </row>
    <row r="64" spans="1:93" x14ac:dyDescent="0.25">
      <c r="A64" s="36"/>
      <c r="B64" s="36" t="s">
        <v>335</v>
      </c>
      <c r="C64" s="36">
        <v>225</v>
      </c>
      <c r="E64" s="37"/>
      <c r="F64" s="37" t="s">
        <v>318</v>
      </c>
      <c r="G64" s="37"/>
      <c r="I64" s="38"/>
      <c r="J64" s="38"/>
      <c r="K64" s="38"/>
      <c r="L64" s="38"/>
      <c r="N64" s="38"/>
      <c r="O64" s="38"/>
      <c r="P64" s="38"/>
      <c r="R64" s="301">
        <f t="shared" si="0"/>
        <v>0</v>
      </c>
      <c r="T64" s="39"/>
      <c r="U64" s="39" t="s">
        <v>343</v>
      </c>
      <c r="V64" s="39" t="s">
        <v>344</v>
      </c>
      <c r="W64" s="71">
        <f>2/60</f>
        <v>3.3333333333333333E-2</v>
      </c>
      <c r="X64" s="71"/>
      <c r="Y64" s="39" t="s">
        <v>343</v>
      </c>
      <c r="Z64" s="39" t="s">
        <v>344</v>
      </c>
      <c r="AA64" s="71">
        <f>2/60</f>
        <v>3.3333333333333333E-2</v>
      </c>
      <c r="AB64" s="308">
        <v>3.3333333333333333E-2</v>
      </c>
      <c r="AC64" s="301">
        <f t="shared" si="1"/>
        <v>0</v>
      </c>
      <c r="AE64" s="40"/>
      <c r="CN64" s="38" t="s">
        <v>345</v>
      </c>
      <c r="CO64" s="41">
        <f>90000/2</f>
        <v>45000</v>
      </c>
    </row>
    <row r="65" spans="1:93" x14ac:dyDescent="0.25">
      <c r="A65" s="36"/>
      <c r="B65" s="36" t="s">
        <v>264</v>
      </c>
      <c r="C65" s="36">
        <f>$C$6</f>
        <v>250</v>
      </c>
      <c r="E65" s="37"/>
      <c r="F65" s="50" t="s">
        <v>550</v>
      </c>
      <c r="G65" s="50">
        <f>1-1</f>
        <v>0</v>
      </c>
      <c r="I65" s="178" t="s">
        <v>348</v>
      </c>
      <c r="J65" s="178" t="s">
        <v>349</v>
      </c>
      <c r="K65" s="179">
        <v>0</v>
      </c>
      <c r="L65" s="179"/>
      <c r="N65" s="178" t="s">
        <v>348</v>
      </c>
      <c r="O65" s="178" t="s">
        <v>349</v>
      </c>
      <c r="P65" s="179">
        <v>0</v>
      </c>
      <c r="Q65" s="308">
        <v>0</v>
      </c>
      <c r="R65" s="301">
        <f t="shared" si="0"/>
        <v>0</v>
      </c>
      <c r="T65" s="39"/>
      <c r="U65" s="39"/>
      <c r="V65" s="39" t="s">
        <v>345</v>
      </c>
      <c r="W65" s="42">
        <f>90000/2</f>
        <v>45000</v>
      </c>
      <c r="X65" s="42"/>
      <c r="Y65" s="39"/>
      <c r="Z65" s="39" t="s">
        <v>345</v>
      </c>
      <c r="AA65" s="42">
        <f>AA7</f>
        <v>22100</v>
      </c>
      <c r="AB65" s="300">
        <v>45000</v>
      </c>
      <c r="AC65" s="301">
        <f t="shared" si="1"/>
        <v>-22900</v>
      </c>
      <c r="AE65" s="40"/>
      <c r="CN65" s="38" t="s">
        <v>346</v>
      </c>
      <c r="CO65" s="41">
        <f>CO63*CO64</f>
        <v>1500</v>
      </c>
    </row>
    <row r="66" spans="1:93" x14ac:dyDescent="0.25">
      <c r="A66" s="36"/>
      <c r="B66" s="36" t="s">
        <v>636</v>
      </c>
      <c r="C66" s="36">
        <v>0.5</v>
      </c>
      <c r="E66" s="37"/>
      <c r="F66" s="37" t="s">
        <v>322</v>
      </c>
      <c r="G66" s="37">
        <v>0</v>
      </c>
      <c r="I66" s="178" t="s">
        <v>354</v>
      </c>
      <c r="J66" s="178" t="s">
        <v>355</v>
      </c>
      <c r="K66" s="180">
        <v>0</v>
      </c>
      <c r="L66" s="180"/>
      <c r="N66" s="178" t="s">
        <v>354</v>
      </c>
      <c r="O66" s="178" t="s">
        <v>355</v>
      </c>
      <c r="P66" s="180">
        <v>0</v>
      </c>
      <c r="Q66" s="306">
        <v>0</v>
      </c>
      <c r="R66" s="301">
        <f t="shared" si="0"/>
        <v>0</v>
      </c>
      <c r="T66" s="39"/>
      <c r="U66" s="39"/>
      <c r="V66" s="73" t="s">
        <v>346</v>
      </c>
      <c r="W66" s="74">
        <f>W64*W65</f>
        <v>1500</v>
      </c>
      <c r="X66" s="74"/>
      <c r="Y66" s="39"/>
      <c r="Z66" s="73" t="s">
        <v>346</v>
      </c>
      <c r="AA66" s="74">
        <f>AA64*AA65</f>
        <v>736.66666666666663</v>
      </c>
      <c r="AB66" s="309">
        <v>1500</v>
      </c>
      <c r="AC66" s="301">
        <f t="shared" si="1"/>
        <v>-763.33333333333337</v>
      </c>
      <c r="AE66" s="40"/>
      <c r="CN66" s="38"/>
      <c r="CO66" s="38"/>
    </row>
    <row r="67" spans="1:93" x14ac:dyDescent="0.25">
      <c r="A67" s="36"/>
      <c r="B67" s="36" t="s">
        <v>281</v>
      </c>
      <c r="C67" s="36">
        <v>3</v>
      </c>
      <c r="E67" s="37"/>
      <c r="F67" s="37" t="s">
        <v>323</v>
      </c>
      <c r="G67" s="37">
        <v>2</v>
      </c>
      <c r="I67" s="178"/>
      <c r="J67" s="178" t="s">
        <v>357</v>
      </c>
      <c r="K67" s="181">
        <v>0</v>
      </c>
      <c r="L67" s="181"/>
      <c r="N67" s="178"/>
      <c r="O67" s="178" t="s">
        <v>357</v>
      </c>
      <c r="P67" s="181">
        <v>0</v>
      </c>
      <c r="Q67" s="300">
        <v>0</v>
      </c>
      <c r="R67" s="301">
        <f t="shared" si="0"/>
        <v>0</v>
      </c>
      <c r="T67" s="39"/>
      <c r="U67" s="39"/>
      <c r="V67" s="39"/>
      <c r="W67" s="39"/>
      <c r="X67" s="39"/>
      <c r="Y67" s="39"/>
      <c r="Z67" s="39"/>
      <c r="AA67" s="39"/>
      <c r="AC67" s="301">
        <f t="shared" si="1"/>
        <v>0</v>
      </c>
      <c r="AE67" s="40"/>
      <c r="CN67" s="178" t="s">
        <v>349</v>
      </c>
      <c r="CO67" s="179">
        <v>0</v>
      </c>
    </row>
    <row r="68" spans="1:93" x14ac:dyDescent="0.25">
      <c r="A68" s="36"/>
      <c r="B68" s="36" t="s">
        <v>342</v>
      </c>
      <c r="C68" s="68">
        <f>500*1.57</f>
        <v>785</v>
      </c>
      <c r="E68" s="37"/>
      <c r="F68" s="37" t="s">
        <v>281</v>
      </c>
      <c r="G68" s="37">
        <v>3</v>
      </c>
      <c r="I68" s="178"/>
      <c r="J68" s="178" t="s">
        <v>346</v>
      </c>
      <c r="K68" s="181">
        <f>K65*K66*K67</f>
        <v>0</v>
      </c>
      <c r="L68" s="181"/>
      <c r="N68" s="178"/>
      <c r="O68" s="178" t="s">
        <v>346</v>
      </c>
      <c r="P68" s="181">
        <f>P65*P66*P67</f>
        <v>0</v>
      </c>
      <c r="Q68" s="300">
        <v>0</v>
      </c>
      <c r="R68" s="301">
        <f t="shared" si="0"/>
        <v>0</v>
      </c>
      <c r="T68" s="39"/>
      <c r="U68" s="39" t="s">
        <v>348</v>
      </c>
      <c r="V68" s="39" t="s">
        <v>349</v>
      </c>
      <c r="W68" s="71">
        <f>5/60</f>
        <v>8.3333333333333329E-2</v>
      </c>
      <c r="X68" s="71"/>
      <c r="Y68" s="39" t="s">
        <v>348</v>
      </c>
      <c r="Z68" s="39" t="s">
        <v>349</v>
      </c>
      <c r="AA68" s="71">
        <f>5/60</f>
        <v>8.3333333333333329E-2</v>
      </c>
      <c r="AB68" s="308">
        <v>8.3333333333333329E-2</v>
      </c>
      <c r="AC68" s="301">
        <f t="shared" si="1"/>
        <v>0</v>
      </c>
      <c r="AE68" s="40"/>
      <c r="CN68" s="178" t="s">
        <v>355</v>
      </c>
      <c r="CO68" s="180">
        <v>0</v>
      </c>
    </row>
    <row r="69" spans="1:93" x14ac:dyDescent="0.25">
      <c r="A69" s="36"/>
      <c r="B69" s="36" t="s">
        <v>264</v>
      </c>
      <c r="C69" s="36">
        <v>250</v>
      </c>
      <c r="E69" s="37"/>
      <c r="F69" s="37" t="s">
        <v>270</v>
      </c>
      <c r="G69" s="37">
        <f>$G$8</f>
        <v>5</v>
      </c>
      <c r="I69" s="38"/>
      <c r="J69" s="38"/>
      <c r="K69" s="38"/>
      <c r="L69" s="38"/>
      <c r="N69" s="38"/>
      <c r="O69" s="38"/>
      <c r="P69" s="38"/>
      <c r="R69" s="301">
        <f t="shared" si="0"/>
        <v>0</v>
      </c>
      <c r="T69" s="39"/>
      <c r="U69" s="39" t="s">
        <v>354</v>
      </c>
      <c r="V69" s="39" t="s">
        <v>355</v>
      </c>
      <c r="W69" s="64">
        <v>0.1</v>
      </c>
      <c r="X69" s="64"/>
      <c r="Y69" s="39" t="s">
        <v>354</v>
      </c>
      <c r="Z69" s="39" t="s">
        <v>355</v>
      </c>
      <c r="AA69" s="64">
        <v>0.1</v>
      </c>
      <c r="AB69" s="306">
        <v>0.1</v>
      </c>
      <c r="AC69" s="301">
        <f t="shared" si="1"/>
        <v>0</v>
      </c>
      <c r="AE69" s="40"/>
      <c r="CN69" s="178" t="s">
        <v>357</v>
      </c>
      <c r="CO69" s="181">
        <v>0</v>
      </c>
    </row>
    <row r="70" spans="1:93" x14ac:dyDescent="0.25">
      <c r="A70" s="36"/>
      <c r="B70" s="36" t="s">
        <v>281</v>
      </c>
      <c r="C70" s="36">
        <v>1</v>
      </c>
      <c r="E70" s="37"/>
      <c r="F70" s="50" t="s">
        <v>551</v>
      </c>
      <c r="G70" s="50">
        <f>G66*G67*G69*G68</f>
        <v>0</v>
      </c>
      <c r="I70" s="38" t="s">
        <v>361</v>
      </c>
      <c r="J70" s="38" t="s">
        <v>329</v>
      </c>
      <c r="K70" s="67">
        <f>15%/3</f>
        <v>4.9999999999999996E-2</v>
      </c>
      <c r="L70" s="67"/>
      <c r="N70" s="38" t="s">
        <v>361</v>
      </c>
      <c r="O70" s="38" t="s">
        <v>329</v>
      </c>
      <c r="P70" s="67">
        <f>15%/3</f>
        <v>4.9999999999999996E-2</v>
      </c>
      <c r="Q70" s="310">
        <v>4.9999999999999996E-2</v>
      </c>
      <c r="R70" s="301">
        <f t="shared" si="0"/>
        <v>0</v>
      </c>
      <c r="T70" s="39"/>
      <c r="U70" s="39"/>
      <c r="V70" s="39" t="s">
        <v>357</v>
      </c>
      <c r="W70" s="42">
        <f>90000/2</f>
        <v>45000</v>
      </c>
      <c r="X70" s="42"/>
      <c r="Y70" s="39"/>
      <c r="Z70" s="39" t="s">
        <v>357</v>
      </c>
      <c r="AA70" s="42">
        <f>AA7</f>
        <v>22100</v>
      </c>
      <c r="AB70" s="300">
        <v>45000</v>
      </c>
      <c r="AC70" s="301">
        <f t="shared" si="1"/>
        <v>-22900</v>
      </c>
      <c r="AE70" s="40"/>
      <c r="CN70" s="178" t="s">
        <v>346</v>
      </c>
      <c r="CO70" s="181">
        <f>CO67*CO68*CO69</f>
        <v>0</v>
      </c>
    </row>
    <row r="71" spans="1:93" x14ac:dyDescent="0.25">
      <c r="A71" s="36"/>
      <c r="B71" s="36" t="s">
        <v>347</v>
      </c>
      <c r="C71" s="68">
        <f>C63*C64*C65*C67*C66+C68*C69</f>
        <v>13443125</v>
      </c>
      <c r="E71" s="37"/>
      <c r="F71" s="55"/>
      <c r="G71" s="55"/>
      <c r="I71" s="38"/>
      <c r="J71" s="69" t="s">
        <v>327</v>
      </c>
      <c r="K71" s="70">
        <f>ROUND(K70*(K63+K68),0)</f>
        <v>75</v>
      </c>
      <c r="L71" s="70"/>
      <c r="N71" s="38"/>
      <c r="O71" s="69" t="s">
        <v>327</v>
      </c>
      <c r="P71" s="70">
        <f>ROUND(P70*(P63+P68),0)</f>
        <v>37</v>
      </c>
      <c r="Q71" s="307">
        <v>75</v>
      </c>
      <c r="R71" s="301">
        <f t="shared" si="0"/>
        <v>-38</v>
      </c>
      <c r="T71" s="39"/>
      <c r="U71" s="39"/>
      <c r="V71" s="73" t="s">
        <v>346</v>
      </c>
      <c r="W71" s="74">
        <f>W68*W69*W70</f>
        <v>375</v>
      </c>
      <c r="X71" s="74"/>
      <c r="Y71" s="39"/>
      <c r="Z71" s="73" t="s">
        <v>346</v>
      </c>
      <c r="AA71" s="74">
        <f>AA68*AA69*AA70</f>
        <v>184.16666666666666</v>
      </c>
      <c r="AB71" s="309">
        <v>375</v>
      </c>
      <c r="AC71" s="301">
        <f t="shared" si="1"/>
        <v>-190.83333333333334</v>
      </c>
      <c r="AE71" s="40"/>
      <c r="CN71" s="38"/>
      <c r="CO71" s="38"/>
    </row>
    <row r="72" spans="1:93" x14ac:dyDescent="0.25">
      <c r="A72" s="36"/>
      <c r="B72" s="36"/>
      <c r="C72" s="68"/>
      <c r="E72" s="37" t="s">
        <v>309</v>
      </c>
      <c r="F72" s="55" t="s">
        <v>542</v>
      </c>
      <c r="G72" s="55">
        <v>1</v>
      </c>
      <c r="I72" s="38"/>
      <c r="J72" s="69" t="s">
        <v>330</v>
      </c>
      <c r="K72" s="70">
        <f>ROUND(K70*(K63+K68),0)</f>
        <v>75</v>
      </c>
      <c r="L72" s="70"/>
      <c r="N72" s="38"/>
      <c r="O72" s="69" t="s">
        <v>330</v>
      </c>
      <c r="P72" s="70">
        <f>ROUND(P70*(P63+P68),0)</f>
        <v>37</v>
      </c>
      <c r="Q72" s="307">
        <v>75</v>
      </c>
      <c r="R72" s="301">
        <f t="shared" si="0"/>
        <v>-38</v>
      </c>
      <c r="T72" s="39"/>
      <c r="U72" s="39"/>
      <c r="V72" s="39"/>
      <c r="W72" s="39"/>
      <c r="X72" s="39"/>
      <c r="Y72" s="39"/>
      <c r="Z72" s="39"/>
      <c r="AA72" s="39"/>
      <c r="AC72" s="301">
        <f t="shared" si="1"/>
        <v>0</v>
      </c>
      <c r="AE72" s="40"/>
      <c r="CN72" s="38" t="s">
        <v>329</v>
      </c>
      <c r="CO72" s="67">
        <f>15%/3</f>
        <v>4.9999999999999996E-2</v>
      </c>
    </row>
    <row r="73" spans="1:93" x14ac:dyDescent="0.25">
      <c r="A73" s="36" t="s">
        <v>350</v>
      </c>
      <c r="B73" s="36" t="s">
        <v>351</v>
      </c>
      <c r="C73" s="68">
        <f>2000*1.57-2000*1.57</f>
        <v>0</v>
      </c>
      <c r="E73" s="37" t="s">
        <v>352</v>
      </c>
      <c r="F73" s="37" t="s">
        <v>353</v>
      </c>
      <c r="G73" s="37">
        <v>3</v>
      </c>
      <c r="I73" s="38"/>
      <c r="J73" s="69" t="s">
        <v>334</v>
      </c>
      <c r="K73" s="70">
        <f>ROUND(K70*(K63+K68),0)</f>
        <v>75</v>
      </c>
      <c r="L73" s="70"/>
      <c r="N73" s="38"/>
      <c r="O73" s="69" t="s">
        <v>334</v>
      </c>
      <c r="P73" s="70">
        <f>ROUND(P70*(P63+P68),0)</f>
        <v>37</v>
      </c>
      <c r="Q73" s="307">
        <v>75</v>
      </c>
      <c r="R73" s="301">
        <f t="shared" si="0"/>
        <v>-38</v>
      </c>
      <c r="T73" s="39"/>
      <c r="U73" s="39" t="s">
        <v>361</v>
      </c>
      <c r="V73" s="39" t="s">
        <v>329</v>
      </c>
      <c r="W73" s="75">
        <f>15%/3</f>
        <v>4.9999999999999996E-2</v>
      </c>
      <c r="X73" s="75"/>
      <c r="Y73" s="39" t="s">
        <v>361</v>
      </c>
      <c r="Z73" s="39" t="s">
        <v>329</v>
      </c>
      <c r="AA73" s="75">
        <f>15%/3</f>
        <v>4.9999999999999996E-2</v>
      </c>
      <c r="AB73" s="310">
        <v>4.9999999999999996E-2</v>
      </c>
      <c r="AC73" s="301">
        <f t="shared" si="1"/>
        <v>0</v>
      </c>
      <c r="AE73" s="40"/>
      <c r="CN73" s="69" t="s">
        <v>327</v>
      </c>
      <c r="CO73" s="70">
        <f>ROUND(CO72*(CO65+CO70),0)</f>
        <v>75</v>
      </c>
    </row>
    <row r="74" spans="1:93" x14ac:dyDescent="0.25">
      <c r="A74" s="36"/>
      <c r="B74" s="36" t="s">
        <v>264</v>
      </c>
      <c r="C74" s="36">
        <f>$C$6</f>
        <v>250</v>
      </c>
      <c r="E74" s="37"/>
      <c r="F74" s="37" t="s">
        <v>356</v>
      </c>
      <c r="G74" s="37">
        <v>8</v>
      </c>
      <c r="I74" s="38"/>
      <c r="J74" s="38"/>
      <c r="K74" s="38"/>
      <c r="L74" s="38"/>
      <c r="N74" s="38"/>
      <c r="O74" s="38"/>
      <c r="P74" s="38"/>
      <c r="R74" s="301">
        <f t="shared" si="0"/>
        <v>0</v>
      </c>
      <c r="T74" s="39"/>
      <c r="U74" s="39"/>
      <c r="V74" s="65" t="s">
        <v>327</v>
      </c>
      <c r="W74" s="66">
        <f>ROUND(W73*(W62+W66+W71),0)</f>
        <v>190</v>
      </c>
      <c r="X74" s="66"/>
      <c r="Y74" s="39"/>
      <c r="Z74" s="65" t="s">
        <v>327</v>
      </c>
      <c r="AA74" s="66">
        <f>ROUND(AA73*(AA62+AA66+AA71),0)</f>
        <v>142</v>
      </c>
      <c r="AB74" s="307">
        <v>190</v>
      </c>
      <c r="AC74" s="301">
        <f t="shared" si="1"/>
        <v>-48</v>
      </c>
      <c r="AE74" s="40"/>
      <c r="CN74" s="69" t="s">
        <v>330</v>
      </c>
      <c r="CO74" s="70">
        <f>ROUND(CO72*(CO65+CO70),0)</f>
        <v>75</v>
      </c>
    </row>
    <row r="75" spans="1:93" x14ac:dyDescent="0.25">
      <c r="A75" s="36"/>
      <c r="B75" s="36" t="s">
        <v>347</v>
      </c>
      <c r="C75" s="68">
        <f>C73*C74</f>
        <v>0</v>
      </c>
      <c r="E75" s="37"/>
      <c r="F75" s="37" t="s">
        <v>358</v>
      </c>
      <c r="G75" s="37">
        <v>8</v>
      </c>
      <c r="I75" s="38" t="s">
        <v>362</v>
      </c>
      <c r="J75" s="38" t="s">
        <v>364</v>
      </c>
      <c r="K75" s="76">
        <f>500*1.57*3</f>
        <v>2355</v>
      </c>
      <c r="L75" s="76"/>
      <c r="N75" s="38" t="s">
        <v>362</v>
      </c>
      <c r="O75" s="38" t="s">
        <v>364</v>
      </c>
      <c r="P75" s="76">
        <f>500*1.57*3-500*1.57*3</f>
        <v>0</v>
      </c>
      <c r="Q75" s="311">
        <v>2355</v>
      </c>
      <c r="R75" s="301">
        <f t="shared" si="0"/>
        <v>-2355</v>
      </c>
      <c r="T75" s="39"/>
      <c r="U75" s="39"/>
      <c r="V75" s="65" t="s">
        <v>330</v>
      </c>
      <c r="W75" s="66">
        <f>ROUND(W73*(W62+W66+W71),0)</f>
        <v>190</v>
      </c>
      <c r="X75" s="66"/>
      <c r="Y75" s="39"/>
      <c r="Z75" s="65" t="s">
        <v>330</v>
      </c>
      <c r="AA75" s="66">
        <f>ROUND(AA73*(AA62+AA66+AA71),0)</f>
        <v>142</v>
      </c>
      <c r="AB75" s="307">
        <v>190</v>
      </c>
      <c r="AC75" s="301">
        <f t="shared" si="1"/>
        <v>-48</v>
      </c>
      <c r="AE75" s="40"/>
      <c r="CN75" s="69" t="s">
        <v>334</v>
      </c>
      <c r="CO75" s="70">
        <f>ROUND(CO72*(CO65+CO70),0)</f>
        <v>75</v>
      </c>
    </row>
    <row r="76" spans="1:93" x14ac:dyDescent="0.25">
      <c r="A76" s="36"/>
      <c r="B76" s="36"/>
      <c r="C76" s="68"/>
      <c r="E76" s="37"/>
      <c r="F76" s="37" t="s">
        <v>359</v>
      </c>
      <c r="G76" s="37">
        <v>5</v>
      </c>
      <c r="I76" s="38"/>
      <c r="J76" s="38" t="s">
        <v>266</v>
      </c>
      <c r="K76" s="38">
        <v>1250</v>
      </c>
      <c r="L76" s="38"/>
      <c r="N76" s="38"/>
      <c r="O76" s="38" t="s">
        <v>266</v>
      </c>
      <c r="P76" s="327">
        <f>P6</f>
        <v>1250</v>
      </c>
      <c r="Q76" s="299">
        <v>1250</v>
      </c>
      <c r="R76" s="301">
        <f t="shared" ref="R76:R140" si="2">P76-Q76</f>
        <v>0</v>
      </c>
      <c r="T76" s="39"/>
      <c r="U76" s="39"/>
      <c r="V76" s="65" t="s">
        <v>334</v>
      </c>
      <c r="W76" s="66">
        <f>ROUND(W73*(W62+W66+W71),0)</f>
        <v>190</v>
      </c>
      <c r="X76" s="66"/>
      <c r="Y76" s="39"/>
      <c r="Z76" s="65" t="s">
        <v>334</v>
      </c>
      <c r="AA76" s="66">
        <f>ROUND(AA73*(AA62+AA66+AA71),0)</f>
        <v>142</v>
      </c>
      <c r="AB76" s="307">
        <v>190</v>
      </c>
      <c r="AC76" s="301">
        <f t="shared" ref="AC76:AC140" si="3">AA76-AB76</f>
        <v>-48</v>
      </c>
      <c r="AE76" s="40"/>
      <c r="CN76" s="38"/>
      <c r="CO76" s="38"/>
    </row>
    <row r="77" spans="1:93" x14ac:dyDescent="0.25">
      <c r="A77" s="36"/>
      <c r="B77" s="36" t="s">
        <v>360</v>
      </c>
      <c r="C77" s="68">
        <f>420*1.57-420*1.57</f>
        <v>0</v>
      </c>
      <c r="E77" s="37"/>
      <c r="F77" s="37" t="s">
        <v>295</v>
      </c>
      <c r="G77" s="37">
        <v>1</v>
      </c>
      <c r="I77" s="38"/>
      <c r="J77" s="38" t="s">
        <v>347</v>
      </c>
      <c r="K77" s="76">
        <f>K76*K75</f>
        <v>2943750</v>
      </c>
      <c r="L77" s="76"/>
      <c r="N77" s="38"/>
      <c r="O77" s="38" t="s">
        <v>347</v>
      </c>
      <c r="P77" s="76">
        <f>P76*P75</f>
        <v>0</v>
      </c>
      <c r="Q77" s="311">
        <v>2943750</v>
      </c>
      <c r="R77" s="301">
        <f t="shared" si="2"/>
        <v>-2943750</v>
      </c>
      <c r="T77" s="39"/>
      <c r="U77" s="39"/>
      <c r="V77" s="39"/>
      <c r="W77" s="39"/>
      <c r="X77" s="39"/>
      <c r="Y77" s="39"/>
      <c r="Z77" s="39"/>
      <c r="AA77" s="39"/>
      <c r="AC77" s="301">
        <f t="shared" si="3"/>
        <v>0</v>
      </c>
      <c r="AE77" s="40"/>
      <c r="CN77" s="38" t="s">
        <v>364</v>
      </c>
      <c r="CO77" s="76">
        <f>500*1.57*3</f>
        <v>2355</v>
      </c>
    </row>
    <row r="78" spans="1:93" x14ac:dyDescent="0.25">
      <c r="A78" s="36"/>
      <c r="B78" s="36" t="s">
        <v>264</v>
      </c>
      <c r="C78" s="36">
        <f>$C$6</f>
        <v>250</v>
      </c>
      <c r="E78" s="37"/>
      <c r="F78" s="37" t="s">
        <v>281</v>
      </c>
      <c r="G78" s="37">
        <v>3</v>
      </c>
      <c r="I78" s="38"/>
      <c r="J78" s="38"/>
      <c r="K78" s="76"/>
      <c r="L78" s="76"/>
      <c r="N78" s="38"/>
      <c r="O78" s="38"/>
      <c r="P78" s="76"/>
      <c r="Q78" s="311"/>
      <c r="R78" s="301">
        <f t="shared" si="2"/>
        <v>0</v>
      </c>
      <c r="T78" s="39"/>
      <c r="U78" s="39"/>
      <c r="V78" s="39"/>
      <c r="W78" s="77"/>
      <c r="X78" s="77"/>
      <c r="Y78" s="39" t="s">
        <v>638</v>
      </c>
      <c r="Z78" s="39" t="s">
        <v>364</v>
      </c>
      <c r="AA78" s="77">
        <f>500*1.57*3</f>
        <v>2355</v>
      </c>
      <c r="AB78" s="311"/>
      <c r="AC78" s="301">
        <f t="shared" si="3"/>
        <v>2355</v>
      </c>
      <c r="AE78" s="40"/>
      <c r="CN78" s="38" t="s">
        <v>266</v>
      </c>
      <c r="CO78" s="38">
        <v>1250</v>
      </c>
    </row>
    <row r="79" spans="1:93" s="78" customFormat="1" x14ac:dyDescent="0.25">
      <c r="A79" s="36"/>
      <c r="B79" s="36" t="s">
        <v>281</v>
      </c>
      <c r="C79" s="36">
        <v>3</v>
      </c>
      <c r="D79" s="185"/>
      <c r="E79" s="37"/>
      <c r="F79" s="37" t="s">
        <v>571</v>
      </c>
      <c r="G79" s="37">
        <v>250</v>
      </c>
      <c r="H79" s="185"/>
      <c r="I79" s="38"/>
      <c r="J79" s="38"/>
      <c r="K79" s="76"/>
      <c r="L79" s="76"/>
      <c r="M79" s="185"/>
      <c r="N79" s="38"/>
      <c r="O79" s="38"/>
      <c r="P79" s="76"/>
      <c r="Q79" s="311"/>
      <c r="R79" s="301">
        <f t="shared" si="2"/>
        <v>0</v>
      </c>
      <c r="S79" s="185"/>
      <c r="T79" s="39"/>
      <c r="U79" s="39"/>
      <c r="V79" s="39"/>
      <c r="W79" s="39"/>
      <c r="X79" s="39"/>
      <c r="Y79" s="39"/>
      <c r="Z79" s="39" t="s">
        <v>266</v>
      </c>
      <c r="AA79" s="194">
        <f>AA6</f>
        <v>1250</v>
      </c>
      <c r="AB79" s="299"/>
      <c r="AC79" s="301">
        <f t="shared" si="3"/>
        <v>1250</v>
      </c>
      <c r="AD79" s="185"/>
      <c r="AE79" s="79"/>
      <c r="CN79" s="38" t="s">
        <v>347</v>
      </c>
      <c r="CO79" s="76">
        <f>CO78*CO77</f>
        <v>2943750</v>
      </c>
    </row>
    <row r="80" spans="1:93" s="80" customFormat="1" x14ac:dyDescent="0.25">
      <c r="A80" s="36"/>
      <c r="B80" s="36" t="s">
        <v>347</v>
      </c>
      <c r="C80" s="68">
        <f>C77*C78*3</f>
        <v>0</v>
      </c>
      <c r="D80" s="186"/>
      <c r="E80" s="37"/>
      <c r="F80" s="55" t="s">
        <v>541</v>
      </c>
      <c r="G80" s="55">
        <f>G79*(G74+G75)*G72*G78</f>
        <v>12000</v>
      </c>
      <c r="H80" s="186"/>
      <c r="I80" s="38"/>
      <c r="J80" s="38"/>
      <c r="K80" s="76"/>
      <c r="L80" s="76"/>
      <c r="M80" s="186"/>
      <c r="N80" s="38"/>
      <c r="O80" s="38"/>
      <c r="P80" s="76"/>
      <c r="Q80" s="311"/>
      <c r="R80" s="301">
        <f t="shared" si="2"/>
        <v>0</v>
      </c>
      <c r="S80" s="186"/>
      <c r="T80" s="39"/>
      <c r="U80" s="39"/>
      <c r="V80" s="39" t="s">
        <v>347</v>
      </c>
      <c r="W80" s="77">
        <f>W79*W78</f>
        <v>0</v>
      </c>
      <c r="X80" s="77"/>
      <c r="Y80" s="39"/>
      <c r="Z80" s="39" t="s">
        <v>347</v>
      </c>
      <c r="AA80" s="77">
        <f>AA79*AA78</f>
        <v>2943750</v>
      </c>
      <c r="AB80" s="311">
        <v>0</v>
      </c>
      <c r="AC80" s="301">
        <f t="shared" si="3"/>
        <v>2943750</v>
      </c>
      <c r="AD80" s="186"/>
      <c r="AE80" s="81"/>
    </row>
    <row r="81" spans="1:31" s="82" customFormat="1" x14ac:dyDescent="0.25">
      <c r="A81" s="36"/>
      <c r="B81" s="36"/>
      <c r="C81" s="68"/>
      <c r="D81" s="187"/>
      <c r="E81" s="37"/>
      <c r="F81" s="37"/>
      <c r="G81" s="37"/>
      <c r="H81" s="187"/>
      <c r="I81" s="38"/>
      <c r="J81" s="38"/>
      <c r="K81" s="76"/>
      <c r="L81" s="76"/>
      <c r="M81" s="187"/>
      <c r="N81" s="38"/>
      <c r="O81" s="38"/>
      <c r="P81" s="76"/>
      <c r="Q81" s="311"/>
      <c r="R81" s="301">
        <f t="shared" si="2"/>
        <v>0</v>
      </c>
      <c r="S81" s="187"/>
      <c r="T81" s="39"/>
      <c r="U81" s="39"/>
      <c r="V81" s="39"/>
      <c r="W81" s="77"/>
      <c r="X81" s="77"/>
      <c r="Y81" s="39"/>
      <c r="Z81" s="39"/>
      <c r="AA81" s="77"/>
      <c r="AB81" s="311"/>
      <c r="AC81" s="301">
        <f t="shared" si="3"/>
        <v>0</v>
      </c>
      <c r="AD81" s="187"/>
      <c r="AE81" s="83"/>
    </row>
    <row r="82" spans="1:31" s="80" customFormat="1" x14ac:dyDescent="0.25">
      <c r="A82" s="36"/>
      <c r="B82" s="36"/>
      <c r="C82" s="68"/>
      <c r="D82" s="186"/>
      <c r="E82" s="37" t="s">
        <v>314</v>
      </c>
      <c r="F82" s="45" t="s">
        <v>543</v>
      </c>
      <c r="G82" s="45">
        <v>0</v>
      </c>
      <c r="H82" s="186"/>
      <c r="I82" s="38"/>
      <c r="J82" s="38"/>
      <c r="K82" s="76"/>
      <c r="L82" s="76"/>
      <c r="M82" s="186"/>
      <c r="N82" s="38"/>
      <c r="O82" s="38"/>
      <c r="P82" s="76"/>
      <c r="Q82" s="311"/>
      <c r="R82" s="301">
        <f t="shared" si="2"/>
        <v>0</v>
      </c>
      <c r="S82" s="186"/>
      <c r="T82" s="39"/>
      <c r="U82" s="39"/>
      <c r="V82" s="39"/>
      <c r="W82" s="77"/>
      <c r="X82" s="77"/>
      <c r="Y82" s="39"/>
      <c r="Z82" s="39"/>
      <c r="AA82" s="77"/>
      <c r="AB82" s="311"/>
      <c r="AC82" s="301">
        <f t="shared" si="3"/>
        <v>0</v>
      </c>
      <c r="AD82" s="186"/>
      <c r="AE82" s="81"/>
    </row>
    <row r="83" spans="1:31" x14ac:dyDescent="0.25">
      <c r="A83" s="36"/>
      <c r="B83" s="36"/>
      <c r="C83" s="68"/>
      <c r="E83" s="37" t="s">
        <v>315</v>
      </c>
      <c r="F83" s="45" t="s">
        <v>544</v>
      </c>
      <c r="G83" s="45">
        <v>1</v>
      </c>
      <c r="I83" s="38"/>
      <c r="J83" s="38"/>
      <c r="K83" s="76"/>
      <c r="L83" s="76"/>
      <c r="N83" s="38"/>
      <c r="O83" s="38"/>
      <c r="P83" s="76"/>
      <c r="Q83" s="311"/>
      <c r="R83" s="301">
        <f t="shared" si="2"/>
        <v>0</v>
      </c>
      <c r="T83" s="39"/>
      <c r="U83" s="39"/>
      <c r="V83" s="39"/>
      <c r="W83" s="77"/>
      <c r="X83" s="77"/>
      <c r="Y83" s="39"/>
      <c r="Z83" s="39"/>
      <c r="AA83" s="77"/>
      <c r="AB83" s="311"/>
      <c r="AC83" s="301">
        <f t="shared" si="3"/>
        <v>0</v>
      </c>
      <c r="AE83" s="40"/>
    </row>
    <row r="84" spans="1:31" x14ac:dyDescent="0.25">
      <c r="A84" s="36"/>
      <c r="B84" s="36"/>
      <c r="C84" s="68"/>
      <c r="E84" s="37"/>
      <c r="F84" s="37" t="s">
        <v>363</v>
      </c>
      <c r="G84" s="37">
        <v>0</v>
      </c>
      <c r="I84" s="38"/>
      <c r="J84" s="38"/>
      <c r="K84" s="76"/>
      <c r="L84" s="76"/>
      <c r="N84" s="38"/>
      <c r="O84" s="38"/>
      <c r="P84" s="76"/>
      <c r="Q84" s="311"/>
      <c r="R84" s="301">
        <f t="shared" si="2"/>
        <v>0</v>
      </c>
      <c r="T84" s="39"/>
      <c r="U84" s="39"/>
      <c r="V84" s="39"/>
      <c r="W84" s="77"/>
      <c r="X84" s="77"/>
      <c r="Y84" s="39"/>
      <c r="Z84" s="39"/>
      <c r="AA84" s="77"/>
      <c r="AB84" s="311"/>
      <c r="AC84" s="301">
        <f t="shared" si="3"/>
        <v>0</v>
      </c>
      <c r="AE84" s="40"/>
    </row>
    <row r="85" spans="1:31" x14ac:dyDescent="0.25">
      <c r="A85" s="36"/>
      <c r="B85" s="36"/>
      <c r="C85" s="68"/>
      <c r="E85" s="37"/>
      <c r="F85" s="37" t="s">
        <v>277</v>
      </c>
      <c r="G85" s="37">
        <v>0</v>
      </c>
      <c r="I85" s="38"/>
      <c r="J85" s="38"/>
      <c r="K85" s="76"/>
      <c r="L85" s="76"/>
      <c r="N85" s="38"/>
      <c r="O85" s="38"/>
      <c r="P85" s="76"/>
      <c r="Q85" s="311"/>
      <c r="R85" s="301">
        <f t="shared" si="2"/>
        <v>0</v>
      </c>
      <c r="T85" s="39"/>
      <c r="U85" s="39"/>
      <c r="V85" s="39"/>
      <c r="W85" s="77"/>
      <c r="X85" s="77"/>
      <c r="Y85" s="39"/>
      <c r="Z85" s="39"/>
      <c r="AA85" s="77"/>
      <c r="AB85" s="311"/>
      <c r="AC85" s="301">
        <f t="shared" si="3"/>
        <v>0</v>
      </c>
      <c r="AE85" s="40"/>
    </row>
    <row r="86" spans="1:31" x14ac:dyDescent="0.25">
      <c r="A86" s="36"/>
      <c r="B86" s="36"/>
      <c r="C86" s="68"/>
      <c r="E86" s="37"/>
      <c r="F86" s="37" t="s">
        <v>281</v>
      </c>
      <c r="G86" s="37">
        <v>0</v>
      </c>
      <c r="I86" s="38"/>
      <c r="J86" s="38"/>
      <c r="K86" s="76"/>
      <c r="L86" s="76"/>
      <c r="N86" s="38"/>
      <c r="O86" s="38"/>
      <c r="P86" s="76"/>
      <c r="Q86" s="311"/>
      <c r="R86" s="301">
        <f t="shared" si="2"/>
        <v>0</v>
      </c>
      <c r="T86" s="39"/>
      <c r="U86" s="39"/>
      <c r="V86" s="39"/>
      <c r="W86" s="77"/>
      <c r="X86" s="77"/>
      <c r="Y86" s="39"/>
      <c r="Z86" s="39"/>
      <c r="AA86" s="77"/>
      <c r="AB86" s="311"/>
      <c r="AC86" s="301">
        <f t="shared" si="3"/>
        <v>0</v>
      </c>
      <c r="AE86" s="40"/>
    </row>
    <row r="87" spans="1:31" x14ac:dyDescent="0.25">
      <c r="A87" s="36"/>
      <c r="B87" s="36"/>
      <c r="C87" s="68"/>
      <c r="E87" s="37"/>
      <c r="F87" s="37" t="s">
        <v>266</v>
      </c>
      <c r="G87" s="37">
        <v>0</v>
      </c>
      <c r="I87" s="38"/>
      <c r="J87" s="38"/>
      <c r="K87" s="76"/>
      <c r="L87" s="76"/>
      <c r="N87" s="38"/>
      <c r="O87" s="38"/>
      <c r="P87" s="76"/>
      <c r="Q87" s="311"/>
      <c r="R87" s="301">
        <f t="shared" si="2"/>
        <v>0</v>
      </c>
      <c r="T87" s="39"/>
      <c r="U87" s="39"/>
      <c r="V87" s="39"/>
      <c r="W87" s="77"/>
      <c r="X87" s="77"/>
      <c r="Y87" s="39"/>
      <c r="Z87" s="39"/>
      <c r="AA87" s="77"/>
      <c r="AB87" s="311"/>
      <c r="AC87" s="301">
        <f t="shared" si="3"/>
        <v>0</v>
      </c>
      <c r="AE87" s="40"/>
    </row>
    <row r="88" spans="1:31" x14ac:dyDescent="0.25">
      <c r="A88" s="36"/>
      <c r="B88" s="36"/>
      <c r="C88" s="68"/>
      <c r="E88" s="37"/>
      <c r="F88" s="45" t="s">
        <v>545</v>
      </c>
      <c r="G88" s="45">
        <f>G82*G83*G85*G86*G87*G84</f>
        <v>0</v>
      </c>
      <c r="I88" s="38"/>
      <c r="J88" s="38"/>
      <c r="K88" s="76"/>
      <c r="L88" s="76"/>
      <c r="N88" s="38"/>
      <c r="O88" s="38"/>
      <c r="P88" s="76"/>
      <c r="Q88" s="311"/>
      <c r="R88" s="301">
        <f t="shared" si="2"/>
        <v>0</v>
      </c>
      <c r="T88" s="39"/>
      <c r="U88" s="39"/>
      <c r="V88" s="39"/>
      <c r="W88" s="77"/>
      <c r="X88" s="77"/>
      <c r="Y88" s="39"/>
      <c r="Z88" s="39"/>
      <c r="AA88" s="77"/>
      <c r="AB88" s="311"/>
      <c r="AC88" s="301">
        <f t="shared" si="3"/>
        <v>0</v>
      </c>
      <c r="AE88" s="40"/>
    </row>
    <row r="89" spans="1:31" x14ac:dyDescent="0.25">
      <c r="A89" s="36"/>
      <c r="B89" s="36"/>
      <c r="C89" s="68"/>
      <c r="E89" s="37"/>
      <c r="F89" s="37"/>
      <c r="G89" s="37"/>
      <c r="I89" s="38"/>
      <c r="J89" s="38"/>
      <c r="K89" s="76"/>
      <c r="L89" s="76"/>
      <c r="N89" s="38"/>
      <c r="O89" s="38"/>
      <c r="P89" s="76"/>
      <c r="Q89" s="311"/>
      <c r="R89" s="301">
        <f t="shared" si="2"/>
        <v>0</v>
      </c>
      <c r="T89" s="39"/>
      <c r="U89" s="39"/>
      <c r="V89" s="39"/>
      <c r="W89" s="77"/>
      <c r="X89" s="77"/>
      <c r="Y89" s="39"/>
      <c r="Z89" s="39"/>
      <c r="AA89" s="77"/>
      <c r="AB89" s="311"/>
      <c r="AC89" s="301">
        <f t="shared" si="3"/>
        <v>0</v>
      </c>
      <c r="AE89" s="40"/>
    </row>
    <row r="90" spans="1:31" x14ac:dyDescent="0.25">
      <c r="A90" s="36"/>
      <c r="B90" s="36"/>
      <c r="C90" s="68"/>
      <c r="E90" s="37" t="s">
        <v>362</v>
      </c>
      <c r="F90" s="37" t="s">
        <v>364</v>
      </c>
      <c r="G90" s="84">
        <f>500*1.57</f>
        <v>785</v>
      </c>
      <c r="I90" s="38"/>
      <c r="J90" s="38"/>
      <c r="K90" s="76"/>
      <c r="L90" s="76"/>
      <c r="N90" s="38"/>
      <c r="O90" s="38"/>
      <c r="P90" s="76"/>
      <c r="Q90" s="311"/>
      <c r="R90" s="301">
        <f t="shared" si="2"/>
        <v>0</v>
      </c>
      <c r="T90" s="39"/>
      <c r="U90" s="39"/>
      <c r="V90" s="39"/>
      <c r="W90" s="77"/>
      <c r="X90" s="77"/>
      <c r="Y90" s="39"/>
      <c r="Z90" s="39"/>
      <c r="AA90" s="77"/>
      <c r="AB90" s="311"/>
      <c r="AC90" s="301">
        <f t="shared" si="3"/>
        <v>0</v>
      </c>
      <c r="AE90" s="40"/>
    </row>
    <row r="91" spans="1:31" x14ac:dyDescent="0.25">
      <c r="A91" s="36"/>
      <c r="B91" s="36"/>
      <c r="C91" s="68"/>
      <c r="E91" s="37"/>
      <c r="F91" s="37" t="s">
        <v>266</v>
      </c>
      <c r="G91" s="37">
        <f>$G$6</f>
        <v>1250</v>
      </c>
      <c r="I91" s="38"/>
      <c r="J91" s="38"/>
      <c r="K91" s="76"/>
      <c r="L91" s="76"/>
      <c r="N91" s="38"/>
      <c r="O91" s="38"/>
      <c r="P91" s="76"/>
      <c r="Q91" s="311"/>
      <c r="R91" s="301">
        <f t="shared" si="2"/>
        <v>0</v>
      </c>
      <c r="T91" s="39"/>
      <c r="U91" s="39"/>
      <c r="V91" s="39"/>
      <c r="W91" s="77"/>
      <c r="X91" s="77"/>
      <c r="Y91" s="39"/>
      <c r="Z91" s="39"/>
      <c r="AA91" s="77"/>
      <c r="AB91" s="311"/>
      <c r="AC91" s="301">
        <f t="shared" si="3"/>
        <v>0</v>
      </c>
      <c r="AE91" s="40"/>
    </row>
    <row r="92" spans="1:31" x14ac:dyDescent="0.25">
      <c r="A92" s="36"/>
      <c r="B92" s="36"/>
      <c r="C92" s="68"/>
      <c r="E92" s="37"/>
      <c r="F92" s="37" t="s">
        <v>347</v>
      </c>
      <c r="G92" s="84">
        <f>G91*G90</f>
        <v>981250</v>
      </c>
      <c r="I92" s="38"/>
      <c r="J92" s="38"/>
      <c r="K92" s="76"/>
      <c r="L92" s="76"/>
      <c r="N92" s="38"/>
      <c r="O92" s="38"/>
      <c r="P92" s="76"/>
      <c r="Q92" s="311"/>
      <c r="R92" s="301">
        <f t="shared" si="2"/>
        <v>0</v>
      </c>
      <c r="T92" s="39"/>
      <c r="U92" s="39"/>
      <c r="V92" s="39"/>
      <c r="W92" s="77"/>
      <c r="X92" s="77"/>
      <c r="Y92" s="39"/>
      <c r="Z92" s="39"/>
      <c r="AA92" s="77"/>
      <c r="AB92" s="311"/>
      <c r="AC92" s="301">
        <f t="shared" si="3"/>
        <v>0</v>
      </c>
      <c r="AE92" s="40"/>
    </row>
    <row r="93" spans="1:31" x14ac:dyDescent="0.25">
      <c r="A93" s="36"/>
      <c r="B93" s="36"/>
      <c r="C93" s="68"/>
      <c r="E93" s="37"/>
      <c r="F93" s="37"/>
      <c r="G93" s="84"/>
      <c r="I93" s="38"/>
      <c r="J93" s="38"/>
      <c r="K93" s="76"/>
      <c r="L93" s="76"/>
      <c r="N93" s="38"/>
      <c r="O93" s="38"/>
      <c r="P93" s="76"/>
      <c r="Q93" s="311"/>
      <c r="R93" s="301">
        <f t="shared" si="2"/>
        <v>0</v>
      </c>
      <c r="T93" s="39"/>
      <c r="U93" s="39"/>
      <c r="V93" s="39"/>
      <c r="W93" s="77"/>
      <c r="X93" s="77"/>
      <c r="Y93" s="39"/>
      <c r="Z93" s="39"/>
      <c r="AA93" s="77"/>
      <c r="AB93" s="311"/>
      <c r="AC93" s="301">
        <f t="shared" si="3"/>
        <v>0</v>
      </c>
      <c r="AE93" s="40"/>
    </row>
    <row r="94" spans="1:31" x14ac:dyDescent="0.25">
      <c r="A94" s="36"/>
      <c r="B94" s="36"/>
      <c r="C94" s="68"/>
      <c r="E94" s="37"/>
      <c r="F94" s="37"/>
      <c r="G94" s="84"/>
      <c r="I94" s="38"/>
      <c r="J94" s="38"/>
      <c r="K94" s="76"/>
      <c r="L94" s="76"/>
      <c r="N94" s="38"/>
      <c r="O94" s="38"/>
      <c r="P94" s="76"/>
      <c r="Q94" s="311"/>
      <c r="R94" s="301">
        <f t="shared" si="2"/>
        <v>0</v>
      </c>
      <c r="T94" s="39"/>
      <c r="U94" s="39"/>
      <c r="V94" s="39"/>
      <c r="W94" s="77"/>
      <c r="X94" s="77"/>
      <c r="Y94" s="39"/>
      <c r="Z94" s="39"/>
      <c r="AA94" s="77"/>
      <c r="AB94" s="311"/>
      <c r="AC94" s="301">
        <f t="shared" si="3"/>
        <v>0</v>
      </c>
      <c r="AE94" s="40"/>
    </row>
    <row r="95" spans="1:31" x14ac:dyDescent="0.25">
      <c r="A95" s="36"/>
      <c r="B95" s="36"/>
      <c r="C95" s="68"/>
      <c r="E95" s="37"/>
      <c r="F95" s="37"/>
      <c r="G95" s="84"/>
      <c r="I95" s="38"/>
      <c r="J95" s="38"/>
      <c r="K95" s="76"/>
      <c r="L95" s="76"/>
      <c r="N95" s="38"/>
      <c r="O95" s="38"/>
      <c r="P95" s="76"/>
      <c r="Q95" s="311"/>
      <c r="R95" s="301">
        <f t="shared" si="2"/>
        <v>0</v>
      </c>
      <c r="T95" s="39"/>
      <c r="U95" s="39"/>
      <c r="V95" s="39"/>
      <c r="W95" s="77"/>
      <c r="X95" s="77"/>
      <c r="Y95" s="39"/>
      <c r="Z95" s="39"/>
      <c r="AA95" s="77"/>
      <c r="AB95" s="311"/>
      <c r="AC95" s="301">
        <f t="shared" si="3"/>
        <v>0</v>
      </c>
      <c r="AE95" s="40"/>
    </row>
    <row r="96" spans="1:31" x14ac:dyDescent="0.25">
      <c r="A96" s="36"/>
      <c r="B96" s="36"/>
      <c r="C96" s="68"/>
      <c r="E96" s="37"/>
      <c r="F96" s="37"/>
      <c r="G96" s="84"/>
      <c r="I96" s="38"/>
      <c r="J96" s="38"/>
      <c r="K96" s="76"/>
      <c r="L96" s="76"/>
      <c r="N96" s="38"/>
      <c r="O96" s="38"/>
      <c r="P96" s="76"/>
      <c r="Q96" s="311"/>
      <c r="R96" s="301">
        <f t="shared" si="2"/>
        <v>0</v>
      </c>
      <c r="T96" s="39"/>
      <c r="U96" s="39"/>
      <c r="V96" s="39"/>
      <c r="W96" s="77"/>
      <c r="X96" s="77"/>
      <c r="Y96" s="39"/>
      <c r="Z96" s="39"/>
      <c r="AA96" s="77"/>
      <c r="AB96" s="311"/>
      <c r="AC96" s="301">
        <f t="shared" si="3"/>
        <v>0</v>
      </c>
      <c r="AE96" s="40"/>
    </row>
    <row r="97" spans="1:31" x14ac:dyDescent="0.25">
      <c r="A97" s="36"/>
      <c r="B97" s="36"/>
      <c r="C97" s="68"/>
      <c r="E97" s="37"/>
      <c r="F97" s="37"/>
      <c r="G97" s="84"/>
      <c r="I97" s="38"/>
      <c r="J97" s="38"/>
      <c r="K97" s="76"/>
      <c r="L97" s="76"/>
      <c r="N97" s="38"/>
      <c r="O97" s="38"/>
      <c r="P97" s="76"/>
      <c r="Q97" s="311"/>
      <c r="R97" s="301">
        <f t="shared" si="2"/>
        <v>0</v>
      </c>
      <c r="T97" s="39"/>
      <c r="U97" s="39"/>
      <c r="V97" s="39"/>
      <c r="W97" s="77"/>
      <c r="X97" s="77"/>
      <c r="Y97" s="39"/>
      <c r="Z97" s="39"/>
      <c r="AA97" s="77"/>
      <c r="AB97" s="311"/>
      <c r="AC97" s="301">
        <f t="shared" si="3"/>
        <v>0</v>
      </c>
      <c r="AE97" s="40"/>
    </row>
    <row r="98" spans="1:31" x14ac:dyDescent="0.25">
      <c r="A98" s="36"/>
      <c r="B98" s="36"/>
      <c r="C98" s="68"/>
      <c r="E98" s="37"/>
      <c r="F98" s="37"/>
      <c r="G98" s="84"/>
      <c r="I98" s="38"/>
      <c r="J98" s="38"/>
      <c r="K98" s="76"/>
      <c r="L98" s="76"/>
      <c r="N98" s="38"/>
      <c r="O98" s="38"/>
      <c r="P98" s="76"/>
      <c r="Q98" s="311"/>
      <c r="R98" s="301">
        <f t="shared" si="2"/>
        <v>0</v>
      </c>
      <c r="T98" s="39"/>
      <c r="U98" s="39"/>
      <c r="V98" s="39"/>
      <c r="W98" s="77"/>
      <c r="X98" s="77"/>
      <c r="Y98" s="39"/>
      <c r="Z98" s="39"/>
      <c r="AA98" s="77"/>
      <c r="AB98" s="311"/>
      <c r="AC98" s="301">
        <f t="shared" si="3"/>
        <v>0</v>
      </c>
      <c r="AE98" s="40"/>
    </row>
    <row r="99" spans="1:31" x14ac:dyDescent="0.25">
      <c r="A99" s="36"/>
      <c r="B99" s="36"/>
      <c r="C99" s="68"/>
      <c r="E99" s="37"/>
      <c r="F99" s="37"/>
      <c r="G99" s="84"/>
      <c r="I99" s="38"/>
      <c r="J99" s="38"/>
      <c r="K99" s="76"/>
      <c r="L99" s="76"/>
      <c r="N99" s="38"/>
      <c r="O99" s="38"/>
      <c r="P99" s="76"/>
      <c r="Q99" s="311"/>
      <c r="R99" s="301">
        <f t="shared" si="2"/>
        <v>0</v>
      </c>
      <c r="T99" s="39"/>
      <c r="U99" s="39"/>
      <c r="V99" s="39"/>
      <c r="W99" s="77"/>
      <c r="X99" s="77"/>
      <c r="Y99" s="39"/>
      <c r="Z99" s="39"/>
      <c r="AA99" s="77"/>
      <c r="AB99" s="311"/>
      <c r="AC99" s="301">
        <f t="shared" si="3"/>
        <v>0</v>
      </c>
      <c r="AE99" s="40"/>
    </row>
    <row r="100" spans="1:31" x14ac:dyDescent="0.25">
      <c r="A100" s="36"/>
      <c r="B100" s="36"/>
      <c r="C100" s="68"/>
      <c r="E100" s="37"/>
      <c r="F100" s="37"/>
      <c r="G100" s="84"/>
      <c r="I100" s="38"/>
      <c r="J100" s="38"/>
      <c r="K100" s="76"/>
      <c r="L100" s="76"/>
      <c r="N100" s="38"/>
      <c r="O100" s="38"/>
      <c r="P100" s="76"/>
      <c r="Q100" s="311"/>
      <c r="R100" s="301">
        <f t="shared" si="2"/>
        <v>0</v>
      </c>
      <c r="T100" s="39"/>
      <c r="U100" s="39"/>
      <c r="V100" s="39"/>
      <c r="W100" s="77"/>
      <c r="X100" s="77"/>
      <c r="Y100" s="39"/>
      <c r="Z100" s="39"/>
      <c r="AA100" s="77"/>
      <c r="AB100" s="311"/>
      <c r="AC100" s="301">
        <f t="shared" si="3"/>
        <v>0</v>
      </c>
      <c r="AE100" s="40"/>
    </row>
    <row r="101" spans="1:31" x14ac:dyDescent="0.25">
      <c r="A101" s="36"/>
      <c r="B101" s="36"/>
      <c r="C101" s="68"/>
      <c r="E101" s="37"/>
      <c r="F101" s="37"/>
      <c r="G101" s="84"/>
      <c r="I101" s="38"/>
      <c r="J101" s="38"/>
      <c r="K101" s="76"/>
      <c r="L101" s="76"/>
      <c r="N101" s="38"/>
      <c r="O101" s="38"/>
      <c r="P101" s="76"/>
      <c r="Q101" s="311"/>
      <c r="R101" s="301">
        <f t="shared" si="2"/>
        <v>0</v>
      </c>
      <c r="T101" s="39"/>
      <c r="U101" s="39"/>
      <c r="V101" s="39"/>
      <c r="W101" s="77"/>
      <c r="X101" s="77"/>
      <c r="Y101" s="39"/>
      <c r="Z101" s="39"/>
      <c r="AA101" s="77"/>
      <c r="AB101" s="311"/>
      <c r="AC101" s="301">
        <f t="shared" si="3"/>
        <v>0</v>
      </c>
      <c r="AE101" s="40"/>
    </row>
    <row r="102" spans="1:31" x14ac:dyDescent="0.25">
      <c r="A102" s="36"/>
      <c r="B102" s="36"/>
      <c r="C102" s="68"/>
      <c r="E102" s="37"/>
      <c r="F102" s="37"/>
      <c r="G102" s="84"/>
      <c r="I102" s="38"/>
      <c r="J102" s="38"/>
      <c r="K102" s="76"/>
      <c r="L102" s="76"/>
      <c r="N102" s="38"/>
      <c r="O102" s="38"/>
      <c r="P102" s="76"/>
      <c r="Q102" s="311"/>
      <c r="R102" s="301">
        <f t="shared" si="2"/>
        <v>0</v>
      </c>
      <c r="T102" s="39"/>
      <c r="U102" s="39"/>
      <c r="V102" s="39"/>
      <c r="W102" s="77"/>
      <c r="X102" s="77"/>
      <c r="Y102" s="39"/>
      <c r="Z102" s="39"/>
      <c r="AA102" s="77"/>
      <c r="AB102" s="311"/>
      <c r="AC102" s="301">
        <f t="shared" si="3"/>
        <v>0</v>
      </c>
      <c r="AE102" s="40"/>
    </row>
    <row r="103" spans="1:31" x14ac:dyDescent="0.25">
      <c r="A103" s="36"/>
      <c r="B103" s="36"/>
      <c r="C103" s="68"/>
      <c r="E103" s="37"/>
      <c r="F103" s="37"/>
      <c r="G103" s="84"/>
      <c r="I103" s="38"/>
      <c r="J103" s="38"/>
      <c r="K103" s="76"/>
      <c r="L103" s="76"/>
      <c r="N103" s="38"/>
      <c r="O103" s="38"/>
      <c r="P103" s="76"/>
      <c r="Q103" s="311"/>
      <c r="R103" s="301">
        <f t="shared" si="2"/>
        <v>0</v>
      </c>
      <c r="T103" s="39"/>
      <c r="U103" s="39"/>
      <c r="V103" s="39"/>
      <c r="W103" s="77"/>
      <c r="X103" s="77"/>
      <c r="Y103" s="39"/>
      <c r="Z103" s="39"/>
      <c r="AA103" s="77"/>
      <c r="AB103" s="311"/>
      <c r="AC103" s="301">
        <f t="shared" si="3"/>
        <v>0</v>
      </c>
      <c r="AE103" s="40"/>
    </row>
    <row r="104" spans="1:31" x14ac:dyDescent="0.25">
      <c r="A104" s="36"/>
      <c r="B104" s="36"/>
      <c r="C104" s="68"/>
      <c r="E104" s="37"/>
      <c r="F104" s="37"/>
      <c r="G104" s="84"/>
      <c r="I104" s="38"/>
      <c r="J104" s="38"/>
      <c r="K104" s="76"/>
      <c r="L104" s="76"/>
      <c r="N104" s="38"/>
      <c r="O104" s="38"/>
      <c r="P104" s="76"/>
      <c r="Q104" s="311"/>
      <c r="R104" s="301">
        <f t="shared" si="2"/>
        <v>0</v>
      </c>
      <c r="T104" s="39"/>
      <c r="U104" s="39"/>
      <c r="V104" s="39"/>
      <c r="W104" s="77"/>
      <c r="X104" s="77"/>
      <c r="Y104" s="39"/>
      <c r="Z104" s="39"/>
      <c r="AA104" s="77"/>
      <c r="AB104" s="311"/>
      <c r="AC104" s="301">
        <f t="shared" si="3"/>
        <v>0</v>
      </c>
      <c r="AE104" s="40"/>
    </row>
    <row r="105" spans="1:31" x14ac:dyDescent="0.25">
      <c r="A105" s="36"/>
      <c r="B105" s="36"/>
      <c r="C105" s="68"/>
      <c r="E105" s="37"/>
      <c r="F105" s="37"/>
      <c r="G105" s="84"/>
      <c r="I105" s="38"/>
      <c r="J105" s="38"/>
      <c r="K105" s="76"/>
      <c r="L105" s="76"/>
      <c r="N105" s="38"/>
      <c r="O105" s="38"/>
      <c r="P105" s="76"/>
      <c r="Q105" s="311"/>
      <c r="R105" s="301">
        <f t="shared" si="2"/>
        <v>0</v>
      </c>
      <c r="T105" s="39"/>
      <c r="U105" s="39"/>
      <c r="V105" s="39"/>
      <c r="W105" s="77"/>
      <c r="X105" s="77"/>
      <c r="Y105" s="39"/>
      <c r="Z105" s="39"/>
      <c r="AA105" s="77"/>
      <c r="AB105" s="311"/>
      <c r="AC105" s="301">
        <f t="shared" si="3"/>
        <v>0</v>
      </c>
      <c r="AE105" s="40"/>
    </row>
    <row r="106" spans="1:31" x14ac:dyDescent="0.25">
      <c r="A106" s="36"/>
      <c r="B106" s="36"/>
      <c r="C106" s="68"/>
      <c r="E106" s="37"/>
      <c r="F106" s="37"/>
      <c r="G106" s="84"/>
      <c r="I106" s="38"/>
      <c r="J106" s="38"/>
      <c r="K106" s="76"/>
      <c r="L106" s="76"/>
      <c r="N106" s="38"/>
      <c r="O106" s="38"/>
      <c r="P106" s="76"/>
      <c r="Q106" s="311"/>
      <c r="R106" s="301">
        <f t="shared" si="2"/>
        <v>0</v>
      </c>
      <c r="T106" s="39"/>
      <c r="U106" s="39"/>
      <c r="V106" s="39"/>
      <c r="W106" s="77"/>
      <c r="X106" s="77"/>
      <c r="Y106" s="39"/>
      <c r="Z106" s="39"/>
      <c r="AA106" s="77"/>
      <c r="AB106" s="311"/>
      <c r="AC106" s="301">
        <f t="shared" si="3"/>
        <v>0</v>
      </c>
      <c r="AE106" s="40"/>
    </row>
    <row r="107" spans="1:31" x14ac:dyDescent="0.25">
      <c r="A107" s="36"/>
      <c r="B107" s="36"/>
      <c r="C107" s="68"/>
      <c r="E107" s="37"/>
      <c r="F107" s="37"/>
      <c r="G107" s="84"/>
      <c r="I107" s="38"/>
      <c r="J107" s="38"/>
      <c r="K107" s="76"/>
      <c r="L107" s="76"/>
      <c r="N107" s="38"/>
      <c r="O107" s="38"/>
      <c r="P107" s="76"/>
      <c r="Q107" s="311"/>
      <c r="R107" s="301">
        <f t="shared" si="2"/>
        <v>0</v>
      </c>
      <c r="T107" s="39"/>
      <c r="U107" s="39"/>
      <c r="V107" s="39"/>
      <c r="W107" s="77"/>
      <c r="X107" s="77"/>
      <c r="Y107" s="39"/>
      <c r="Z107" s="39"/>
      <c r="AA107" s="77"/>
      <c r="AB107" s="311"/>
      <c r="AC107" s="301">
        <f t="shared" si="3"/>
        <v>0</v>
      </c>
      <c r="AE107" s="40"/>
    </row>
    <row r="108" spans="1:31" x14ac:dyDescent="0.25">
      <c r="A108" s="36"/>
      <c r="B108" s="36"/>
      <c r="C108" s="68"/>
      <c r="E108" s="37"/>
      <c r="F108" s="37"/>
      <c r="G108" s="84"/>
      <c r="I108" s="38"/>
      <c r="J108" s="38"/>
      <c r="K108" s="76"/>
      <c r="L108" s="76"/>
      <c r="N108" s="38"/>
      <c r="O108" s="38"/>
      <c r="P108" s="76"/>
      <c r="Q108" s="311"/>
      <c r="R108" s="301">
        <f t="shared" si="2"/>
        <v>0</v>
      </c>
      <c r="T108" s="39"/>
      <c r="U108" s="39"/>
      <c r="V108" s="39"/>
      <c r="W108" s="77"/>
      <c r="X108" s="77"/>
      <c r="Y108" s="39"/>
      <c r="Z108" s="39"/>
      <c r="AA108" s="77"/>
      <c r="AB108" s="311"/>
      <c r="AC108" s="301">
        <f t="shared" si="3"/>
        <v>0</v>
      </c>
      <c r="AE108" s="40"/>
    </row>
    <row r="109" spans="1:31" x14ac:dyDescent="0.25">
      <c r="A109" s="36"/>
      <c r="B109" s="36"/>
      <c r="C109" s="68"/>
      <c r="E109" s="37"/>
      <c r="F109" s="37"/>
      <c r="G109" s="84"/>
      <c r="I109" s="38"/>
      <c r="J109" s="38"/>
      <c r="K109" s="76"/>
      <c r="L109" s="76"/>
      <c r="N109" s="38"/>
      <c r="O109" s="38"/>
      <c r="P109" s="76"/>
      <c r="Q109" s="311"/>
      <c r="R109" s="301">
        <f t="shared" si="2"/>
        <v>0</v>
      </c>
      <c r="T109" s="39"/>
      <c r="U109" s="39"/>
      <c r="V109" s="39"/>
      <c r="W109" s="77"/>
      <c r="X109" s="77"/>
      <c r="Y109" s="39"/>
      <c r="Z109" s="39"/>
      <c r="AA109" s="77"/>
      <c r="AB109" s="311"/>
      <c r="AC109" s="301">
        <f t="shared" si="3"/>
        <v>0</v>
      </c>
      <c r="AE109" s="40"/>
    </row>
    <row r="110" spans="1:31" x14ac:dyDescent="0.25">
      <c r="A110" s="36"/>
      <c r="B110" s="36"/>
      <c r="C110" s="68"/>
      <c r="E110" s="37"/>
      <c r="F110" s="37"/>
      <c r="G110" s="84"/>
      <c r="I110" s="38"/>
      <c r="J110" s="38"/>
      <c r="K110" s="76"/>
      <c r="L110" s="76"/>
      <c r="N110" s="38"/>
      <c r="O110" s="38"/>
      <c r="P110" s="76"/>
      <c r="Q110" s="311"/>
      <c r="R110" s="301">
        <f t="shared" si="2"/>
        <v>0</v>
      </c>
      <c r="T110" s="39"/>
      <c r="U110" s="39"/>
      <c r="V110" s="39"/>
      <c r="W110" s="77"/>
      <c r="X110" s="77"/>
      <c r="Y110" s="39"/>
      <c r="Z110" s="39"/>
      <c r="AA110" s="77"/>
      <c r="AB110" s="311"/>
      <c r="AC110" s="301">
        <f t="shared" si="3"/>
        <v>0</v>
      </c>
      <c r="AE110" s="40"/>
    </row>
    <row r="111" spans="1:31" x14ac:dyDescent="0.25">
      <c r="A111" s="36"/>
      <c r="B111" s="36"/>
      <c r="C111" s="68"/>
      <c r="E111" s="37"/>
      <c r="F111" s="37"/>
      <c r="G111" s="84"/>
      <c r="I111" s="38"/>
      <c r="J111" s="38"/>
      <c r="K111" s="76"/>
      <c r="L111" s="76"/>
      <c r="N111" s="38"/>
      <c r="O111" s="38"/>
      <c r="P111" s="76"/>
      <c r="Q111" s="311"/>
      <c r="R111" s="301">
        <f t="shared" si="2"/>
        <v>0</v>
      </c>
      <c r="T111" s="39"/>
      <c r="U111" s="39"/>
      <c r="V111" s="39"/>
      <c r="W111" s="77"/>
      <c r="X111" s="77"/>
      <c r="Y111" s="39"/>
      <c r="Z111" s="39"/>
      <c r="AA111" s="77"/>
      <c r="AB111" s="311"/>
      <c r="AC111" s="301">
        <f t="shared" si="3"/>
        <v>0</v>
      </c>
      <c r="AE111" s="40"/>
    </row>
    <row r="112" spans="1:31" x14ac:dyDescent="0.25">
      <c r="A112" s="36"/>
      <c r="B112" s="36"/>
      <c r="C112" s="68"/>
      <c r="E112" s="37"/>
      <c r="F112" s="37"/>
      <c r="G112" s="84"/>
      <c r="I112" s="38"/>
      <c r="J112" s="38"/>
      <c r="K112" s="76"/>
      <c r="L112" s="76"/>
      <c r="N112" s="38"/>
      <c r="O112" s="38"/>
      <c r="P112" s="76"/>
      <c r="Q112" s="311"/>
      <c r="R112" s="301">
        <f t="shared" si="2"/>
        <v>0</v>
      </c>
      <c r="T112" s="39"/>
      <c r="U112" s="39"/>
      <c r="V112" s="39"/>
      <c r="W112" s="77"/>
      <c r="X112" s="77"/>
      <c r="Y112" s="39"/>
      <c r="Z112" s="39"/>
      <c r="AA112" s="77"/>
      <c r="AB112" s="311"/>
      <c r="AC112" s="301">
        <f t="shared" si="3"/>
        <v>0</v>
      </c>
      <c r="AE112" s="40"/>
    </row>
    <row r="113" spans="1:31" x14ac:dyDescent="0.25">
      <c r="A113" s="36"/>
      <c r="B113" s="36"/>
      <c r="C113" s="68"/>
      <c r="E113" s="37"/>
      <c r="F113" s="37"/>
      <c r="G113" s="84"/>
      <c r="I113" s="38"/>
      <c r="J113" s="38"/>
      <c r="K113" s="76"/>
      <c r="L113" s="76"/>
      <c r="N113" s="38"/>
      <c r="O113" s="38"/>
      <c r="P113" s="76"/>
      <c r="Q113" s="311"/>
      <c r="R113" s="301">
        <f t="shared" si="2"/>
        <v>0</v>
      </c>
      <c r="T113" s="39"/>
      <c r="U113" s="39"/>
      <c r="V113" s="39"/>
      <c r="W113" s="77"/>
      <c r="X113" s="77"/>
      <c r="Y113" s="39"/>
      <c r="Z113" s="39"/>
      <c r="AA113" s="77"/>
      <c r="AB113" s="311"/>
      <c r="AC113" s="301">
        <f t="shared" si="3"/>
        <v>0</v>
      </c>
      <c r="AE113" s="40"/>
    </row>
    <row r="114" spans="1:31" x14ac:dyDescent="0.25">
      <c r="A114" s="36"/>
      <c r="B114" s="36"/>
      <c r="C114" s="68"/>
      <c r="E114" s="37"/>
      <c r="F114" s="37"/>
      <c r="G114" s="84"/>
      <c r="I114" s="38"/>
      <c r="J114" s="38"/>
      <c r="K114" s="76"/>
      <c r="L114" s="76"/>
      <c r="N114" s="38"/>
      <c r="O114" s="38"/>
      <c r="P114" s="76"/>
      <c r="Q114" s="311"/>
      <c r="R114" s="301">
        <f t="shared" si="2"/>
        <v>0</v>
      </c>
      <c r="T114" s="39"/>
      <c r="U114" s="39"/>
      <c r="V114" s="39"/>
      <c r="W114" s="77"/>
      <c r="X114" s="77"/>
      <c r="Y114" s="39"/>
      <c r="Z114" s="39"/>
      <c r="AA114" s="77"/>
      <c r="AB114" s="311"/>
      <c r="AC114" s="301">
        <f t="shared" si="3"/>
        <v>0</v>
      </c>
      <c r="AE114" s="40"/>
    </row>
    <row r="115" spans="1:31" s="153" customFormat="1" x14ac:dyDescent="0.25">
      <c r="A115" s="36"/>
      <c r="B115" s="36"/>
      <c r="C115" s="68"/>
      <c r="D115" s="188"/>
      <c r="E115" s="37"/>
      <c r="F115" s="37"/>
      <c r="G115" s="84"/>
      <c r="H115" s="188"/>
      <c r="I115" s="38"/>
      <c r="J115" s="38"/>
      <c r="K115" s="76"/>
      <c r="L115" s="76"/>
      <c r="M115" s="188"/>
      <c r="N115" s="38"/>
      <c r="O115" s="38"/>
      <c r="P115" s="76"/>
      <c r="Q115" s="311"/>
      <c r="R115" s="301">
        <f t="shared" si="2"/>
        <v>0</v>
      </c>
      <c r="S115" s="188"/>
      <c r="T115" s="39"/>
      <c r="U115" s="39"/>
      <c r="V115" s="39"/>
      <c r="W115" s="77"/>
      <c r="X115" s="77"/>
      <c r="Y115" s="39"/>
      <c r="Z115" s="39"/>
      <c r="AA115" s="77"/>
      <c r="AB115" s="311"/>
      <c r="AC115" s="301">
        <f t="shared" si="3"/>
        <v>0</v>
      </c>
      <c r="AD115" s="188"/>
      <c r="AE115" s="40"/>
    </row>
    <row r="116" spans="1:31" x14ac:dyDescent="0.25">
      <c r="A116" s="36"/>
      <c r="B116" s="36"/>
      <c r="C116" s="68"/>
      <c r="E116" s="37"/>
      <c r="F116" s="37"/>
      <c r="G116" s="84"/>
      <c r="I116" s="38"/>
      <c r="J116" s="38"/>
      <c r="K116" s="76"/>
      <c r="L116" s="76"/>
      <c r="N116" s="38"/>
      <c r="O116" s="38"/>
      <c r="P116" s="76"/>
      <c r="Q116" s="311"/>
      <c r="R116" s="301">
        <f t="shared" si="2"/>
        <v>0</v>
      </c>
      <c r="T116" s="39"/>
      <c r="U116" s="39"/>
      <c r="V116" s="39"/>
      <c r="W116" s="77"/>
      <c r="X116" s="77"/>
      <c r="Y116" s="39"/>
      <c r="Z116" s="39"/>
      <c r="AA116" s="77"/>
      <c r="AB116" s="311"/>
      <c r="AC116" s="301">
        <f t="shared" si="3"/>
        <v>0</v>
      </c>
      <c r="AE116" s="40"/>
    </row>
    <row r="117" spans="1:31" x14ac:dyDescent="0.25">
      <c r="A117" s="36"/>
      <c r="B117" s="36"/>
      <c r="C117" s="68"/>
      <c r="E117" s="37"/>
      <c r="F117" s="37"/>
      <c r="G117" s="84"/>
      <c r="I117" s="38"/>
      <c r="J117" s="38"/>
      <c r="K117" s="76"/>
      <c r="L117" s="76"/>
      <c r="N117" s="38"/>
      <c r="O117" s="38"/>
      <c r="P117" s="76"/>
      <c r="Q117" s="311"/>
      <c r="R117" s="301">
        <f t="shared" si="2"/>
        <v>0</v>
      </c>
      <c r="T117" s="39"/>
      <c r="U117" s="39"/>
      <c r="V117" s="39"/>
      <c r="W117" s="77"/>
      <c r="X117" s="77"/>
      <c r="Y117" s="39"/>
      <c r="Z117" s="39"/>
      <c r="AA117" s="77"/>
      <c r="AB117" s="311"/>
      <c r="AC117" s="301">
        <f t="shared" si="3"/>
        <v>0</v>
      </c>
      <c r="AE117" s="40"/>
    </row>
    <row r="118" spans="1:31" x14ac:dyDescent="0.25">
      <c r="A118" s="36"/>
      <c r="B118" s="36"/>
      <c r="C118" s="68"/>
      <c r="E118" s="37"/>
      <c r="F118" s="37"/>
      <c r="G118" s="84"/>
      <c r="I118" s="38"/>
      <c r="J118" s="38"/>
      <c r="K118" s="76"/>
      <c r="L118" s="76"/>
      <c r="N118" s="38"/>
      <c r="O118" s="38"/>
      <c r="P118" s="76"/>
      <c r="Q118" s="311"/>
      <c r="R118" s="301">
        <f t="shared" si="2"/>
        <v>0</v>
      </c>
      <c r="T118" s="39"/>
      <c r="U118" s="39"/>
      <c r="V118" s="39"/>
      <c r="W118" s="77"/>
      <c r="X118" s="77"/>
      <c r="Y118" s="39"/>
      <c r="Z118" s="39"/>
      <c r="AA118" s="77"/>
      <c r="AB118" s="311"/>
      <c r="AC118" s="301">
        <f t="shared" si="3"/>
        <v>0</v>
      </c>
      <c r="AE118" s="40"/>
    </row>
    <row r="119" spans="1:31" x14ac:dyDescent="0.25">
      <c r="A119" s="36"/>
      <c r="B119" s="36"/>
      <c r="C119" s="68"/>
      <c r="E119" s="37"/>
      <c r="F119" s="37"/>
      <c r="G119" s="84"/>
      <c r="I119" s="38"/>
      <c r="J119" s="38"/>
      <c r="K119" s="76"/>
      <c r="L119" s="76"/>
      <c r="N119" s="38"/>
      <c r="O119" s="38"/>
      <c r="P119" s="76"/>
      <c r="Q119" s="311"/>
      <c r="R119" s="301">
        <f t="shared" si="2"/>
        <v>0</v>
      </c>
      <c r="T119" s="39"/>
      <c r="U119" s="39"/>
      <c r="V119" s="39"/>
      <c r="W119" s="77"/>
      <c r="X119" s="77"/>
      <c r="Y119" s="39"/>
      <c r="Z119" s="39"/>
      <c r="AA119" s="77"/>
      <c r="AB119" s="311"/>
      <c r="AC119" s="301">
        <f t="shared" si="3"/>
        <v>0</v>
      </c>
      <c r="AE119" s="40"/>
    </row>
    <row r="120" spans="1:31" x14ac:dyDescent="0.25">
      <c r="A120" s="36"/>
      <c r="B120" s="36"/>
      <c r="C120" s="68"/>
      <c r="E120" s="37"/>
      <c r="F120" s="37"/>
      <c r="G120" s="84"/>
      <c r="I120" s="38"/>
      <c r="J120" s="38"/>
      <c r="K120" s="76"/>
      <c r="L120" s="76"/>
      <c r="N120" s="38"/>
      <c r="O120" s="38"/>
      <c r="P120" s="76"/>
      <c r="Q120" s="311"/>
      <c r="R120" s="301">
        <f t="shared" si="2"/>
        <v>0</v>
      </c>
      <c r="T120" s="39"/>
      <c r="U120" s="39"/>
      <c r="V120" s="39"/>
      <c r="W120" s="77"/>
      <c r="X120" s="77"/>
      <c r="Y120" s="39"/>
      <c r="Z120" s="39"/>
      <c r="AA120" s="77"/>
      <c r="AB120" s="311"/>
      <c r="AC120" s="301">
        <f t="shared" si="3"/>
        <v>0</v>
      </c>
      <c r="AE120" s="40"/>
    </row>
    <row r="121" spans="1:31" x14ac:dyDescent="0.25">
      <c r="A121" s="36"/>
      <c r="B121" s="36"/>
      <c r="C121" s="68"/>
      <c r="E121" s="37"/>
      <c r="F121" s="37"/>
      <c r="G121" s="84"/>
      <c r="I121" s="38"/>
      <c r="J121" s="38"/>
      <c r="K121" s="76"/>
      <c r="L121" s="76"/>
      <c r="N121" s="38"/>
      <c r="O121" s="38"/>
      <c r="P121" s="76"/>
      <c r="Q121" s="311"/>
      <c r="R121" s="301">
        <f t="shared" si="2"/>
        <v>0</v>
      </c>
      <c r="T121" s="39"/>
      <c r="U121" s="39"/>
      <c r="V121" s="39"/>
      <c r="W121" s="77"/>
      <c r="X121" s="77"/>
      <c r="Y121" s="39"/>
      <c r="Z121" s="39"/>
      <c r="AA121" s="77"/>
      <c r="AB121" s="311"/>
      <c r="AC121" s="301">
        <f t="shared" si="3"/>
        <v>0</v>
      </c>
      <c r="AE121" s="40"/>
    </row>
    <row r="122" spans="1:31" x14ac:dyDescent="0.25">
      <c r="A122" s="36"/>
      <c r="B122" s="36"/>
      <c r="C122" s="68"/>
      <c r="E122" s="37"/>
      <c r="F122" s="37"/>
      <c r="G122" s="84"/>
      <c r="I122" s="38"/>
      <c r="J122" s="38"/>
      <c r="K122" s="76"/>
      <c r="L122" s="76"/>
      <c r="N122" s="38"/>
      <c r="O122" s="38"/>
      <c r="P122" s="76"/>
      <c r="Q122" s="311"/>
      <c r="R122" s="301"/>
      <c r="T122" s="39"/>
      <c r="U122" s="39"/>
      <c r="V122" s="39"/>
      <c r="W122" s="77"/>
      <c r="X122" s="77"/>
      <c r="Y122" s="39"/>
      <c r="Z122" s="39"/>
      <c r="AA122" s="77"/>
      <c r="AB122" s="311"/>
      <c r="AC122" s="301"/>
      <c r="AE122" s="40"/>
    </row>
    <row r="123" spans="1:31" x14ac:dyDescent="0.25">
      <c r="A123" s="36"/>
      <c r="B123" s="36"/>
      <c r="C123" s="68"/>
      <c r="E123" s="37"/>
      <c r="F123" s="37"/>
      <c r="G123" s="84"/>
      <c r="I123" s="38"/>
      <c r="J123" s="38"/>
      <c r="K123" s="76"/>
      <c r="L123" s="76"/>
      <c r="N123" s="38"/>
      <c r="O123" s="38"/>
      <c r="P123" s="76"/>
      <c r="Q123" s="311"/>
      <c r="R123" s="301">
        <f t="shared" si="2"/>
        <v>0</v>
      </c>
      <c r="T123" s="39"/>
      <c r="U123" s="39"/>
      <c r="V123" s="39"/>
      <c r="W123" s="77"/>
      <c r="X123" s="77"/>
      <c r="Y123" s="39"/>
      <c r="Z123" s="39"/>
      <c r="AA123" s="77"/>
      <c r="AB123" s="311"/>
      <c r="AC123" s="301">
        <f t="shared" si="3"/>
        <v>0</v>
      </c>
      <c r="AE123" s="40"/>
    </row>
    <row r="124" spans="1:31" x14ac:dyDescent="0.25">
      <c r="A124" s="53" t="s">
        <v>365</v>
      </c>
      <c r="B124" s="85">
        <f>60*1.4*1.57</f>
        <v>131.88</v>
      </c>
      <c r="C124" s="86">
        <f>SUM(C18,C30,C36,C48,C24)</f>
        <v>57200</v>
      </c>
      <c r="E124" s="55" t="s">
        <v>365</v>
      </c>
      <c r="F124" s="37"/>
      <c r="G124" s="87">
        <f>SUM(G21,G80,G35,G28,)</f>
        <v>279800</v>
      </c>
      <c r="I124" s="88" t="s">
        <v>365</v>
      </c>
      <c r="J124" s="38"/>
      <c r="K124" s="89">
        <v>0</v>
      </c>
      <c r="L124" s="89"/>
      <c r="N124" s="88" t="s">
        <v>365</v>
      </c>
      <c r="O124" s="38"/>
      <c r="P124" s="89">
        <v>0</v>
      </c>
      <c r="Q124" s="312">
        <v>0</v>
      </c>
      <c r="R124" s="301">
        <f t="shared" si="2"/>
        <v>0</v>
      </c>
      <c r="T124" s="90"/>
      <c r="U124" s="90" t="s">
        <v>365</v>
      </c>
      <c r="V124" s="39"/>
      <c r="W124" s="91">
        <f>SUM(0)</f>
        <v>0</v>
      </c>
      <c r="X124" s="91"/>
      <c r="Y124" s="90" t="s">
        <v>365</v>
      </c>
      <c r="Z124" s="39"/>
      <c r="AA124" s="91">
        <f>SUM(0)</f>
        <v>0</v>
      </c>
      <c r="AB124" s="312">
        <v>0</v>
      </c>
      <c r="AC124" s="301">
        <f t="shared" si="3"/>
        <v>0</v>
      </c>
      <c r="AE124" s="92">
        <f t="shared" ref="AE124:AE130" si="4">SUM(C124,G124,P124,AA124)</f>
        <v>337000</v>
      </c>
    </row>
    <row r="125" spans="1:31" x14ac:dyDescent="0.25">
      <c r="A125" s="43" t="s">
        <v>366</v>
      </c>
      <c r="B125" s="85">
        <f>52*1.4*1.57</f>
        <v>114.29600000000001</v>
      </c>
      <c r="C125" s="93">
        <f>SUM(C8,C41,C55,C61)</f>
        <v>96</v>
      </c>
      <c r="E125" s="45" t="s">
        <v>366</v>
      </c>
      <c r="F125" s="37"/>
      <c r="G125" s="94">
        <f>SUM(G11,G40,G47,G62,G88)</f>
        <v>96</v>
      </c>
      <c r="I125" s="58" t="s">
        <v>366</v>
      </c>
      <c r="J125" s="38"/>
      <c r="K125" s="95">
        <f>SUM(K29,K42,K48)</f>
        <v>2688</v>
      </c>
      <c r="L125" s="95"/>
      <c r="N125" s="58" t="s">
        <v>366</v>
      </c>
      <c r="O125" s="38"/>
      <c r="P125" s="95">
        <f>SUM(P29,P42,P48)</f>
        <v>2496</v>
      </c>
      <c r="Q125" s="313">
        <v>2688</v>
      </c>
      <c r="R125" s="301">
        <f t="shared" si="2"/>
        <v>-192</v>
      </c>
      <c r="T125" s="60"/>
      <c r="U125" s="60" t="s">
        <v>366</v>
      </c>
      <c r="V125" s="39"/>
      <c r="W125" s="96">
        <f>SUM(W28,W40,W46)</f>
        <v>1962</v>
      </c>
      <c r="X125" s="96"/>
      <c r="Y125" s="60" t="s">
        <v>366</v>
      </c>
      <c r="Z125" s="39"/>
      <c r="AA125" s="96">
        <f>SUM(AA28,AA40,AA46)</f>
        <v>1470</v>
      </c>
      <c r="AB125" s="313">
        <v>1962</v>
      </c>
      <c r="AC125" s="301">
        <f t="shared" si="3"/>
        <v>-492</v>
      </c>
      <c r="AE125" s="92">
        <f t="shared" si="4"/>
        <v>4158</v>
      </c>
    </row>
    <row r="126" spans="1:31" x14ac:dyDescent="0.25">
      <c r="A126" s="97" t="s">
        <v>367</v>
      </c>
      <c r="B126" s="85">
        <f>37*1.4*1.57</f>
        <v>81.325999999999993</v>
      </c>
      <c r="C126" s="98">
        <f>C12</f>
        <v>64</v>
      </c>
      <c r="E126" s="99" t="s">
        <v>367</v>
      </c>
      <c r="F126" s="37"/>
      <c r="G126" s="100">
        <f>G15+G54+G70</f>
        <v>64</v>
      </c>
      <c r="I126" s="101" t="s">
        <v>367</v>
      </c>
      <c r="J126" s="38"/>
      <c r="K126" s="102">
        <f>SUM(K54)</f>
        <v>0</v>
      </c>
      <c r="L126" s="102"/>
      <c r="N126" s="101" t="s">
        <v>367</v>
      </c>
      <c r="O126" s="38"/>
      <c r="P126" s="102">
        <f>SUM(P54)</f>
        <v>0</v>
      </c>
      <c r="Q126" s="314">
        <v>0</v>
      </c>
      <c r="R126" s="301">
        <f t="shared" si="2"/>
        <v>0</v>
      </c>
      <c r="T126" s="103"/>
      <c r="U126" s="103" t="s">
        <v>367</v>
      </c>
      <c r="V126" s="39"/>
      <c r="W126" s="104">
        <f>W52</f>
        <v>60000</v>
      </c>
      <c r="X126" s="104"/>
      <c r="Y126" s="103" t="s">
        <v>367</v>
      </c>
      <c r="Z126" s="39"/>
      <c r="AA126" s="104">
        <f>AA52</f>
        <v>45000</v>
      </c>
      <c r="AB126" s="314">
        <v>60000</v>
      </c>
      <c r="AC126" s="301">
        <f t="shared" si="3"/>
        <v>-15000</v>
      </c>
      <c r="AE126" s="92">
        <f t="shared" si="4"/>
        <v>45128</v>
      </c>
    </row>
    <row r="127" spans="1:31" x14ac:dyDescent="0.25">
      <c r="A127" s="105" t="s">
        <v>368</v>
      </c>
      <c r="B127" s="85">
        <f>28*1.4*1.57</f>
        <v>61.543999999999997</v>
      </c>
      <c r="C127" s="106">
        <f>ROUND(SUM(C124:C126)*0.01,0)</f>
        <v>574</v>
      </c>
      <c r="E127" s="107" t="s">
        <v>368</v>
      </c>
      <c r="F127" s="107"/>
      <c r="G127" s="108">
        <f>ROUND(SUM(G124:G126)*0.01,0)</f>
        <v>2800</v>
      </c>
      <c r="I127" s="109" t="s">
        <v>368</v>
      </c>
      <c r="J127" s="109"/>
      <c r="K127" s="110">
        <f>ROUND(SUM(K124:K126)*0.01,0)</f>
        <v>27</v>
      </c>
      <c r="L127" s="110"/>
      <c r="N127" s="109" t="s">
        <v>368</v>
      </c>
      <c r="O127" s="109"/>
      <c r="P127" s="110">
        <f>ROUND(SUM(P124:P126)*0.01,0)</f>
        <v>25</v>
      </c>
      <c r="Q127" s="315">
        <v>27</v>
      </c>
      <c r="R127" s="301">
        <f t="shared" si="2"/>
        <v>-2</v>
      </c>
      <c r="T127" s="111"/>
      <c r="U127" s="111" t="s">
        <v>368</v>
      </c>
      <c r="V127" s="111"/>
      <c r="W127" s="112">
        <f>ROUND(SUM(W124:W126)*0.01,0)</f>
        <v>620</v>
      </c>
      <c r="X127" s="112"/>
      <c r="Y127" s="111" t="s">
        <v>368</v>
      </c>
      <c r="Z127" s="111"/>
      <c r="AA127" s="112">
        <f>ROUND(SUM(AA124:AA126)*0.01,0)</f>
        <v>465</v>
      </c>
      <c r="AB127" s="315">
        <v>620</v>
      </c>
      <c r="AC127" s="301">
        <f t="shared" si="3"/>
        <v>-155</v>
      </c>
      <c r="AE127" s="92">
        <f t="shared" si="4"/>
        <v>3864</v>
      </c>
    </row>
    <row r="128" spans="1:31" x14ac:dyDescent="0.25">
      <c r="A128" s="113" t="s">
        <v>369</v>
      </c>
      <c r="B128" s="85"/>
      <c r="C128" s="114">
        <f>SUMPRODUCT($B$124:$B$127,C124:C127)</f>
        <v>7595039.5360000003</v>
      </c>
      <c r="D128" s="193"/>
      <c r="E128" s="115"/>
      <c r="F128" s="115"/>
      <c r="G128" s="116">
        <f>SUMPRODUCT($B$124:$B$127,G124:G127)</f>
        <v>37088524.480000004</v>
      </c>
      <c r="I128" s="117"/>
      <c r="J128" s="117"/>
      <c r="K128" s="118">
        <f>SUMPRODUCT($B$124:$B$127,K124:K127)</f>
        <v>308889.33600000007</v>
      </c>
      <c r="L128" s="118"/>
      <c r="N128" s="117"/>
      <c r="O128" s="117"/>
      <c r="P128" s="118">
        <f>SUMPRODUCT($B$124:$B$127,P124:P127)</f>
        <v>286821.41599999997</v>
      </c>
      <c r="Q128" s="316">
        <v>308889.33600000007</v>
      </c>
      <c r="R128" s="301">
        <f t="shared" si="2"/>
        <v>-22067.9200000001</v>
      </c>
      <c r="T128" s="119"/>
      <c r="U128" s="119"/>
      <c r="V128" s="119"/>
      <c r="W128" s="120">
        <f>SUMPRODUCT($B$124:$B$127,W124:W127)</f>
        <v>5141966.0320000006</v>
      </c>
      <c r="X128" s="120"/>
      <c r="Y128" s="119"/>
      <c r="Z128" s="119"/>
      <c r="AA128" s="120">
        <f>SUMPRODUCT($B$124:$B$127,AA124:AA127)</f>
        <v>3856303.0799999996</v>
      </c>
      <c r="AB128" s="316">
        <v>5141966.0320000006</v>
      </c>
      <c r="AC128" s="301">
        <f t="shared" si="3"/>
        <v>-1285662.952000001</v>
      </c>
      <c r="AE128" s="121">
        <f t="shared" si="4"/>
        <v>48826688.512000002</v>
      </c>
    </row>
    <row r="129" spans="1:31" x14ac:dyDescent="0.2">
      <c r="A129" s="150" t="s">
        <v>370</v>
      </c>
      <c r="B129" s="151"/>
      <c r="C129" s="150"/>
      <c r="E129" s="152"/>
      <c r="F129" s="152"/>
      <c r="G129" s="152"/>
      <c r="I129" s="154"/>
      <c r="J129" s="154"/>
      <c r="K129" s="154"/>
      <c r="L129" s="154"/>
      <c r="N129" s="154"/>
      <c r="O129" s="154"/>
      <c r="P129" s="154"/>
      <c r="Q129" s="317"/>
      <c r="R129" s="301">
        <f t="shared" si="2"/>
        <v>0</v>
      </c>
      <c r="T129" s="155"/>
      <c r="U129" s="155"/>
      <c r="V129" s="155"/>
      <c r="W129" s="155"/>
      <c r="X129" s="155"/>
      <c r="Y129" s="155"/>
      <c r="Z129" s="155"/>
      <c r="AA129" s="155"/>
      <c r="AB129" s="317"/>
      <c r="AC129" s="301">
        <f t="shared" si="3"/>
        <v>0</v>
      </c>
      <c r="AE129" s="156">
        <f t="shared" si="4"/>
        <v>0</v>
      </c>
    </row>
    <row r="130" spans="1:31" x14ac:dyDescent="0.25">
      <c r="A130" s="113" t="s">
        <v>371</v>
      </c>
      <c r="B130" s="85"/>
      <c r="C130" s="114">
        <f>SUM(C128:C129)</f>
        <v>7595039.5360000003</v>
      </c>
      <c r="E130" s="115"/>
      <c r="F130" s="115"/>
      <c r="G130" s="116">
        <f>SUM(G128:G129)</f>
        <v>37088524.480000004</v>
      </c>
      <c r="I130" s="117"/>
      <c r="J130" s="117"/>
      <c r="K130" s="118">
        <f>SUM(K128:K129)</f>
        <v>308889.33600000007</v>
      </c>
      <c r="L130" s="118"/>
      <c r="N130" s="117"/>
      <c r="O130" s="117"/>
      <c r="P130" s="118">
        <f>SUM(P128:P129)</f>
        <v>286821.41599999997</v>
      </c>
      <c r="Q130" s="316">
        <v>308889.33600000007</v>
      </c>
      <c r="R130" s="301">
        <f t="shared" si="2"/>
        <v>-22067.9200000001</v>
      </c>
      <c r="T130" s="119"/>
      <c r="U130" s="119"/>
      <c r="V130" s="119"/>
      <c r="W130" s="120">
        <f>SUM(W128:W129)</f>
        <v>5141966.0320000006</v>
      </c>
      <c r="X130" s="120"/>
      <c r="Y130" s="119"/>
      <c r="Z130" s="119"/>
      <c r="AA130" s="120">
        <f>SUM(AA128:AA129)</f>
        <v>3856303.0799999996</v>
      </c>
      <c r="AB130" s="316">
        <v>5141966.0320000006</v>
      </c>
      <c r="AC130" s="301">
        <f t="shared" si="3"/>
        <v>-1285662.952000001</v>
      </c>
      <c r="AE130" s="121">
        <f t="shared" si="4"/>
        <v>48826688.512000002</v>
      </c>
    </row>
    <row r="131" spans="1:31" x14ac:dyDescent="0.25">
      <c r="A131" s="97"/>
      <c r="B131" s="85"/>
      <c r="C131" s="98"/>
      <c r="E131" s="99"/>
      <c r="F131" s="37"/>
      <c r="G131" s="100"/>
      <c r="I131" s="101"/>
      <c r="J131" s="38"/>
      <c r="K131" s="102"/>
      <c r="L131" s="102"/>
      <c r="N131" s="101"/>
      <c r="O131" s="38"/>
      <c r="P131" s="102"/>
      <c r="Q131" s="314"/>
      <c r="R131" s="301">
        <f t="shared" si="2"/>
        <v>0</v>
      </c>
      <c r="T131" s="103"/>
      <c r="U131" s="103"/>
      <c r="V131" s="39"/>
      <c r="W131" s="104"/>
      <c r="X131" s="104"/>
      <c r="Y131" s="103"/>
      <c r="Z131" s="39"/>
      <c r="AA131" s="104"/>
      <c r="AB131" s="314"/>
      <c r="AC131" s="301">
        <f t="shared" si="3"/>
        <v>0</v>
      </c>
      <c r="AE131" s="40"/>
    </row>
    <row r="132" spans="1:31" x14ac:dyDescent="0.25">
      <c r="A132" s="36"/>
      <c r="B132" s="85"/>
      <c r="C132" s="36"/>
      <c r="E132" s="37"/>
      <c r="F132" s="37"/>
      <c r="G132" s="37"/>
      <c r="I132" s="38"/>
      <c r="J132" s="38"/>
      <c r="K132" s="38"/>
      <c r="L132" s="38"/>
      <c r="N132" s="38"/>
      <c r="O132" s="38"/>
      <c r="P132" s="38"/>
      <c r="R132" s="301">
        <f t="shared" si="2"/>
        <v>0</v>
      </c>
      <c r="T132" s="39"/>
      <c r="U132" s="39"/>
      <c r="V132" s="39"/>
      <c r="W132" s="39"/>
      <c r="X132" s="39"/>
      <c r="Y132" s="39"/>
      <c r="Z132" s="39"/>
      <c r="AA132" s="39"/>
      <c r="AC132" s="301">
        <f t="shared" si="3"/>
        <v>0</v>
      </c>
      <c r="AE132" s="40"/>
    </row>
    <row r="133" spans="1:31" x14ac:dyDescent="0.25">
      <c r="A133" s="126" t="s">
        <v>372</v>
      </c>
      <c r="B133" s="85">
        <f>23*1.2*1.57</f>
        <v>43.332000000000001</v>
      </c>
      <c r="C133" s="127">
        <v>0</v>
      </c>
      <c r="E133" s="128" t="s">
        <v>372</v>
      </c>
      <c r="F133" s="37"/>
      <c r="G133" s="129">
        <v>0</v>
      </c>
      <c r="I133" s="46" t="s">
        <v>372</v>
      </c>
      <c r="J133" s="38"/>
      <c r="K133" s="130">
        <f>SUM(K16,K23,K36)</f>
        <v>1086000</v>
      </c>
      <c r="L133" s="130"/>
      <c r="N133" s="46" t="s">
        <v>372</v>
      </c>
      <c r="O133" s="38"/>
      <c r="P133" s="130">
        <f>SUM(P16,P23,P36)</f>
        <v>1078800</v>
      </c>
      <c r="Q133" s="318">
        <v>1745304</v>
      </c>
      <c r="R133" s="301">
        <f t="shared" si="2"/>
        <v>-666504</v>
      </c>
      <c r="T133" s="48"/>
      <c r="U133" s="48" t="s">
        <v>372</v>
      </c>
      <c r="V133" s="39"/>
      <c r="W133" s="131">
        <f>W17+W23+W34</f>
        <v>2083158</v>
      </c>
      <c r="X133" s="131"/>
      <c r="Y133" s="48" t="s">
        <v>372</v>
      </c>
      <c r="Z133" s="39"/>
      <c r="AA133" s="131">
        <f>AA17+AA23+AA34</f>
        <v>1563492</v>
      </c>
      <c r="AB133" s="318">
        <v>2083158</v>
      </c>
      <c r="AC133" s="301">
        <f t="shared" si="3"/>
        <v>-519666</v>
      </c>
      <c r="AE133" s="92">
        <f>SUM(C133,G133,P133,AA133)</f>
        <v>2642292</v>
      </c>
    </row>
    <row r="134" spans="1:31" x14ac:dyDescent="0.25">
      <c r="A134" s="113" t="s">
        <v>373</v>
      </c>
      <c r="B134" s="85"/>
      <c r="C134" s="114">
        <f>SUMPRODUCT($B$133,C133)</f>
        <v>0</v>
      </c>
      <c r="E134" s="115"/>
      <c r="F134" s="115"/>
      <c r="G134" s="116">
        <f>SUMPRODUCT($B$133,G133)</f>
        <v>0</v>
      </c>
      <c r="I134" s="117"/>
      <c r="J134" s="117"/>
      <c r="K134" s="118">
        <f>SUMPRODUCT($B$133,K133)</f>
        <v>47058552</v>
      </c>
      <c r="L134" s="118"/>
      <c r="N134" s="117"/>
      <c r="O134" s="117"/>
      <c r="P134" s="118">
        <f>SUMPRODUCT($B$133,P133)</f>
        <v>46746561.600000001</v>
      </c>
      <c r="Q134" s="316">
        <v>62474901.983999997</v>
      </c>
      <c r="R134" s="301">
        <f t="shared" si="2"/>
        <v>-15728340.383999996</v>
      </c>
      <c r="T134" s="119"/>
      <c r="U134" s="119"/>
      <c r="V134" s="119"/>
      <c r="W134" s="120">
        <f>SUMPRODUCT($B$133,W133)</f>
        <v>90267402.456</v>
      </c>
      <c r="X134" s="120"/>
      <c r="Y134" s="119"/>
      <c r="Z134" s="119"/>
      <c r="AA134" s="120">
        <f>SUMPRODUCT($B$133,AA133)</f>
        <v>67749235.343999997</v>
      </c>
      <c r="AB134" s="316">
        <v>74568723.767999992</v>
      </c>
      <c r="AC134" s="301">
        <f t="shared" si="3"/>
        <v>-6819488.423999995</v>
      </c>
      <c r="AE134" s="121">
        <f>SUM(C134,G134,P134,AA134)</f>
        <v>114495796.94400001</v>
      </c>
    </row>
    <row r="135" spans="1:31" x14ac:dyDescent="0.25">
      <c r="A135" s="122" t="s">
        <v>370</v>
      </c>
      <c r="B135" s="85"/>
      <c r="C135" s="122">
        <f>('[2]Federal CPFF'!I54)*[2]Assumptions!C120</f>
        <v>0</v>
      </c>
      <c r="E135" s="123"/>
      <c r="F135" s="123"/>
      <c r="G135" s="123">
        <f>('[2]Federal CPFF'!M46)*[2]Assumptions!G120</f>
        <v>0</v>
      </c>
      <c r="I135" s="124"/>
      <c r="J135" s="124"/>
      <c r="K135" s="124"/>
      <c r="L135" s="124"/>
      <c r="N135" s="124"/>
      <c r="O135" s="124"/>
      <c r="P135" s="124"/>
      <c r="Q135" s="319"/>
      <c r="R135" s="301">
        <f t="shared" si="2"/>
        <v>0</v>
      </c>
      <c r="T135" s="125"/>
      <c r="U135" s="125"/>
      <c r="V135" s="125"/>
      <c r="W135" s="125"/>
      <c r="X135" s="125"/>
      <c r="Y135" s="125"/>
      <c r="Z135" s="125"/>
      <c r="AA135" s="125"/>
      <c r="AB135" s="319"/>
      <c r="AC135" s="301">
        <f t="shared" si="3"/>
        <v>0</v>
      </c>
      <c r="AE135" s="121">
        <f>SUM(C135,G135,P135,AA135)</f>
        <v>0</v>
      </c>
    </row>
    <row r="136" spans="1:31" x14ac:dyDescent="0.25">
      <c r="A136" s="113" t="s">
        <v>374</v>
      </c>
      <c r="B136" s="85"/>
      <c r="C136" s="114">
        <f>SUM(C134:C135)</f>
        <v>0</v>
      </c>
      <c r="E136" s="115"/>
      <c r="F136" s="115"/>
      <c r="G136" s="116">
        <f>SUM(G134:G135)</f>
        <v>0</v>
      </c>
      <c r="I136" s="117"/>
      <c r="J136" s="117"/>
      <c r="K136" s="118">
        <f>SUM(K134:K135)</f>
        <v>47058552</v>
      </c>
      <c r="L136" s="118"/>
      <c r="N136" s="117"/>
      <c r="O136" s="117"/>
      <c r="P136" s="118">
        <f>SUM(P134:P135)</f>
        <v>46746561.600000001</v>
      </c>
      <c r="Q136" s="316">
        <v>62474901.983999997</v>
      </c>
      <c r="R136" s="301">
        <f t="shared" si="2"/>
        <v>-15728340.383999996</v>
      </c>
      <c r="T136" s="119"/>
      <c r="U136" s="119"/>
      <c r="V136" s="119"/>
      <c r="W136" s="120">
        <f>SUM(W134:W135)</f>
        <v>90267402.456</v>
      </c>
      <c r="X136" s="120"/>
      <c r="Y136" s="119"/>
      <c r="Z136" s="119"/>
      <c r="AA136" s="120">
        <f>SUM(AA134:AA135)</f>
        <v>67749235.343999997</v>
      </c>
      <c r="AB136" s="316">
        <v>74568723.767999992</v>
      </c>
      <c r="AC136" s="301">
        <f t="shared" si="3"/>
        <v>-6819488.423999995</v>
      </c>
      <c r="AE136" s="121">
        <f>SUM(C136,G136,P136,AA136)</f>
        <v>114495796.94400001</v>
      </c>
    </row>
    <row r="137" spans="1:31" x14ac:dyDescent="0.25">
      <c r="A137" s="126"/>
      <c r="B137" s="85"/>
      <c r="C137" s="127"/>
      <c r="E137" s="128"/>
      <c r="F137" s="37"/>
      <c r="G137" s="129"/>
      <c r="I137" s="46"/>
      <c r="J137" s="38"/>
      <c r="K137" s="130"/>
      <c r="L137" s="130"/>
      <c r="N137" s="46"/>
      <c r="O137" s="38"/>
      <c r="P137" s="130"/>
      <c r="Q137" s="318"/>
      <c r="R137" s="301">
        <f t="shared" si="2"/>
        <v>0</v>
      </c>
      <c r="T137" s="48"/>
      <c r="U137" s="48"/>
      <c r="V137" s="39"/>
      <c r="W137" s="131"/>
      <c r="X137" s="131"/>
      <c r="Y137" s="48"/>
      <c r="Z137" s="39"/>
      <c r="AA137" s="131"/>
      <c r="AB137" s="318"/>
      <c r="AC137" s="301">
        <f t="shared" si="3"/>
        <v>0</v>
      </c>
      <c r="AE137" s="40"/>
    </row>
    <row r="138" spans="1:31" x14ac:dyDescent="0.25">
      <c r="A138" s="126"/>
      <c r="B138" s="85"/>
      <c r="C138" s="127"/>
      <c r="E138" s="128"/>
      <c r="F138" s="37"/>
      <c r="G138" s="129"/>
      <c r="I138" s="46"/>
      <c r="J138" s="38"/>
      <c r="K138" s="130"/>
      <c r="L138" s="130"/>
      <c r="N138" s="46"/>
      <c r="O138" s="38"/>
      <c r="P138" s="130"/>
      <c r="Q138" s="318"/>
      <c r="R138" s="301">
        <f t="shared" si="2"/>
        <v>0</v>
      </c>
      <c r="T138" s="48"/>
      <c r="U138" s="48"/>
      <c r="V138" s="39"/>
      <c r="W138" s="131"/>
      <c r="X138" s="131"/>
      <c r="Y138" s="48"/>
      <c r="Z138" s="39"/>
      <c r="AA138" s="131"/>
      <c r="AB138" s="318"/>
      <c r="AC138" s="301">
        <f t="shared" si="3"/>
        <v>0</v>
      </c>
      <c r="AE138" s="40"/>
    </row>
    <row r="139" spans="1:31" x14ac:dyDescent="0.25">
      <c r="A139" s="132" t="s">
        <v>375</v>
      </c>
      <c r="B139" s="85">
        <f>32.5*1.4*1.57</f>
        <v>71.435000000000002</v>
      </c>
      <c r="C139" s="132">
        <v>0</v>
      </c>
      <c r="E139" s="133" t="s">
        <v>375</v>
      </c>
      <c r="F139" s="37"/>
      <c r="G139" s="133">
        <v>0</v>
      </c>
      <c r="I139" s="69" t="s">
        <v>375</v>
      </c>
      <c r="J139" s="38"/>
      <c r="K139" s="134">
        <f>SUM(K57)</f>
        <v>69280</v>
      </c>
      <c r="L139" s="134"/>
      <c r="N139" s="69" t="s">
        <v>375</v>
      </c>
      <c r="O139" s="38"/>
      <c r="P139" s="134">
        <f>SUM(P57)</f>
        <v>69280</v>
      </c>
      <c r="Q139" s="322">
        <v>114312</v>
      </c>
      <c r="R139" s="301">
        <f t="shared" si="2"/>
        <v>-45032</v>
      </c>
      <c r="T139" s="65"/>
      <c r="U139" s="65" t="s">
        <v>375</v>
      </c>
      <c r="V139" s="39"/>
      <c r="W139" s="65">
        <v>0</v>
      </c>
      <c r="X139" s="65"/>
      <c r="Y139" s="65" t="s">
        <v>375</v>
      </c>
      <c r="Z139" s="39"/>
      <c r="AA139" s="65">
        <v>0</v>
      </c>
      <c r="AB139" s="320">
        <v>0</v>
      </c>
      <c r="AC139" s="301">
        <f t="shared" si="3"/>
        <v>0</v>
      </c>
      <c r="AE139" s="92">
        <f t="shared" ref="AE139:AE144" si="5">SUM(C139,G139,P139,AA139)</f>
        <v>69280</v>
      </c>
    </row>
    <row r="140" spans="1:31" s="141" customFormat="1" x14ac:dyDescent="0.25">
      <c r="A140" s="132" t="s">
        <v>376</v>
      </c>
      <c r="B140" s="85">
        <f>25*1.4*1.57</f>
        <v>54.95</v>
      </c>
      <c r="C140" s="132">
        <v>0</v>
      </c>
      <c r="D140" s="57"/>
      <c r="E140" s="133" t="s">
        <v>376</v>
      </c>
      <c r="F140" s="37"/>
      <c r="G140" s="133">
        <v>0</v>
      </c>
      <c r="H140" s="57"/>
      <c r="I140" s="69" t="s">
        <v>376</v>
      </c>
      <c r="J140" s="38"/>
      <c r="K140" s="134">
        <f t="shared" ref="K140:K141" si="6">SUM(K58)</f>
        <v>69280</v>
      </c>
      <c r="L140" s="134"/>
      <c r="M140" s="57"/>
      <c r="N140" s="69" t="s">
        <v>376</v>
      </c>
      <c r="O140" s="38"/>
      <c r="P140" s="134">
        <f t="shared" ref="P140:P141" si="7">SUM(P58)</f>
        <v>69280</v>
      </c>
      <c r="Q140" s="322">
        <v>114312</v>
      </c>
      <c r="R140" s="301">
        <f t="shared" si="2"/>
        <v>-45032</v>
      </c>
      <c r="S140" s="57"/>
      <c r="T140" s="65"/>
      <c r="U140" s="65" t="s">
        <v>376</v>
      </c>
      <c r="V140" s="39"/>
      <c r="W140" s="65">
        <v>0</v>
      </c>
      <c r="X140" s="65"/>
      <c r="Y140" s="65" t="s">
        <v>376</v>
      </c>
      <c r="Z140" s="39"/>
      <c r="AA140" s="65">
        <v>0</v>
      </c>
      <c r="AB140" s="320">
        <v>0</v>
      </c>
      <c r="AC140" s="301">
        <f t="shared" si="3"/>
        <v>0</v>
      </c>
      <c r="AD140" s="57"/>
      <c r="AE140" s="92">
        <f t="shared" si="5"/>
        <v>69280</v>
      </c>
    </row>
    <row r="141" spans="1:31" x14ac:dyDescent="0.25">
      <c r="A141" s="132" t="s">
        <v>377</v>
      </c>
      <c r="B141" s="85">
        <f>35*1.4*1.57</f>
        <v>76.930000000000007</v>
      </c>
      <c r="C141" s="132">
        <v>0</v>
      </c>
      <c r="E141" s="133" t="s">
        <v>377</v>
      </c>
      <c r="F141" s="37"/>
      <c r="G141" s="133">
        <v>0</v>
      </c>
      <c r="I141" s="69" t="s">
        <v>377</v>
      </c>
      <c r="J141" s="38"/>
      <c r="K141" s="134">
        <f t="shared" si="6"/>
        <v>69280</v>
      </c>
      <c r="L141" s="134"/>
      <c r="M141" s="189"/>
      <c r="N141" s="69" t="s">
        <v>377</v>
      </c>
      <c r="O141" s="38"/>
      <c r="P141" s="134">
        <f t="shared" si="7"/>
        <v>69280</v>
      </c>
      <c r="Q141" s="322">
        <v>114312</v>
      </c>
      <c r="R141" s="301">
        <f t="shared" ref="R141:R179" si="8">P141-Q141</f>
        <v>-45032</v>
      </c>
      <c r="T141" s="65"/>
      <c r="U141" s="65" t="s">
        <v>377</v>
      </c>
      <c r="V141" s="39"/>
      <c r="W141" s="65">
        <v>0</v>
      </c>
      <c r="X141" s="65"/>
      <c r="Y141" s="65" t="s">
        <v>377</v>
      </c>
      <c r="Z141" s="39"/>
      <c r="AA141" s="65">
        <v>0</v>
      </c>
      <c r="AB141" s="320">
        <v>0</v>
      </c>
      <c r="AC141" s="301">
        <f t="shared" ref="AC141:AC179" si="9">AA141-AB141</f>
        <v>0</v>
      </c>
      <c r="AE141" s="92">
        <f t="shared" si="5"/>
        <v>69280</v>
      </c>
    </row>
    <row r="142" spans="1:31" x14ac:dyDescent="0.25">
      <c r="A142" s="113" t="s">
        <v>378</v>
      </c>
      <c r="B142" s="85"/>
      <c r="C142" s="114">
        <f>SUMPRODUCT($B$133:$B$141,C133:C141)</f>
        <v>0</v>
      </c>
      <c r="E142" s="115"/>
      <c r="F142" s="115"/>
      <c r="G142" s="116">
        <f>SUMPRODUCT($B$133:$B$141,G133:G141)</f>
        <v>0</v>
      </c>
      <c r="I142" s="117"/>
      <c r="J142" s="117"/>
      <c r="K142" s="118">
        <f>SUMPRODUCT($B$139:$B$141,K139:K141)</f>
        <v>14085663.200000001</v>
      </c>
      <c r="L142" s="118"/>
      <c r="N142" s="117"/>
      <c r="O142" s="117"/>
      <c r="P142" s="118">
        <f>SUMPRODUCT($B$139:$B$141,P139:P141)</f>
        <v>14085663.200000001</v>
      </c>
      <c r="Q142" s="316">
        <v>19723735.416000001</v>
      </c>
      <c r="R142" s="301">
        <f t="shared" si="8"/>
        <v>-5638072.216</v>
      </c>
      <c r="T142" s="119"/>
      <c r="U142" s="119"/>
      <c r="V142" s="119"/>
      <c r="W142" s="120">
        <f>SUMPRODUCT($B$139:$B$141,W139:W141)</f>
        <v>0</v>
      </c>
      <c r="X142" s="120"/>
      <c r="Y142" s="119"/>
      <c r="Z142" s="119"/>
      <c r="AA142" s="120">
        <f>SUMPRODUCT($B$139:$B$141,AA139:AA141)</f>
        <v>0</v>
      </c>
      <c r="AB142" s="316">
        <v>0</v>
      </c>
      <c r="AC142" s="301">
        <f t="shared" si="9"/>
        <v>0</v>
      </c>
      <c r="AE142" s="121">
        <f t="shared" si="5"/>
        <v>14085663.200000001</v>
      </c>
    </row>
    <row r="143" spans="1:31" x14ac:dyDescent="0.25">
      <c r="A143" s="122" t="s">
        <v>370</v>
      </c>
      <c r="B143" s="85"/>
      <c r="C143" s="122">
        <f>('[2]Federal CPFF'!I54)*[2]Assumptions!C128</f>
        <v>0</v>
      </c>
      <c r="E143" s="123"/>
      <c r="F143" s="123"/>
      <c r="G143" s="123">
        <f>('[2]Federal CPFF'!M54)*[2]Assumptions!G128</f>
        <v>0</v>
      </c>
      <c r="I143" s="124"/>
      <c r="J143" s="124"/>
      <c r="K143" s="124"/>
      <c r="L143" s="124"/>
      <c r="N143" s="124"/>
      <c r="O143" s="124"/>
      <c r="P143" s="124"/>
      <c r="Q143" s="319"/>
      <c r="R143" s="301">
        <f t="shared" si="8"/>
        <v>0</v>
      </c>
      <c r="T143" s="125"/>
      <c r="U143" s="125"/>
      <c r="V143" s="125"/>
      <c r="W143" s="125">
        <v>0</v>
      </c>
      <c r="X143" s="125"/>
      <c r="Y143" s="125"/>
      <c r="Z143" s="125"/>
      <c r="AA143" s="125">
        <f>('[2]Federal CPFF'!U54)*[2]Assumptions!O128</f>
        <v>0</v>
      </c>
      <c r="AB143" s="319">
        <v>0</v>
      </c>
      <c r="AC143" s="301">
        <f t="shared" si="9"/>
        <v>0</v>
      </c>
      <c r="AE143" s="121">
        <f t="shared" si="5"/>
        <v>0</v>
      </c>
    </row>
    <row r="144" spans="1:31" x14ac:dyDescent="0.25">
      <c r="A144" s="113" t="s">
        <v>379</v>
      </c>
      <c r="B144" s="85"/>
      <c r="C144" s="114">
        <f>SUM(C142:C143)</f>
        <v>0</v>
      </c>
      <c r="E144" s="115"/>
      <c r="F144" s="115"/>
      <c r="G144" s="116">
        <f>SUM(G142:G143)</f>
        <v>0</v>
      </c>
      <c r="I144" s="117"/>
      <c r="J144" s="117"/>
      <c r="K144" s="118">
        <f>SUM(K142:K143)</f>
        <v>14085663.200000001</v>
      </c>
      <c r="L144" s="118"/>
      <c r="N144" s="117"/>
      <c r="O144" s="117"/>
      <c r="P144" s="118">
        <f>SUM(P142:P143)</f>
        <v>14085663.200000001</v>
      </c>
      <c r="Q144" s="316">
        <v>19723735.416000001</v>
      </c>
      <c r="R144" s="301">
        <f t="shared" si="8"/>
        <v>-5638072.216</v>
      </c>
      <c r="T144" s="119"/>
      <c r="U144" s="119"/>
      <c r="V144" s="119"/>
      <c r="W144" s="120">
        <f>SUM(W142:W143)</f>
        <v>0</v>
      </c>
      <c r="X144" s="120"/>
      <c r="Y144" s="119"/>
      <c r="Z144" s="119"/>
      <c r="AA144" s="120">
        <f>SUM(AA142:AA143)</f>
        <v>0</v>
      </c>
      <c r="AB144" s="316">
        <v>0</v>
      </c>
      <c r="AC144" s="301">
        <f t="shared" si="9"/>
        <v>0</v>
      </c>
      <c r="AE144" s="121">
        <f t="shared" si="5"/>
        <v>14085663.200000001</v>
      </c>
    </row>
    <row r="145" spans="1:96" x14ac:dyDescent="0.25">
      <c r="A145" s="132"/>
      <c r="B145" s="85"/>
      <c r="C145" s="36"/>
      <c r="E145" s="133"/>
      <c r="F145" s="37"/>
      <c r="G145" s="133"/>
      <c r="I145" s="69"/>
      <c r="J145" s="38"/>
      <c r="K145" s="134"/>
      <c r="L145" s="134"/>
      <c r="N145" s="69"/>
      <c r="O145" s="38"/>
      <c r="P145" s="134"/>
      <c r="Q145" s="322"/>
      <c r="R145" s="301">
        <f t="shared" si="8"/>
        <v>0</v>
      </c>
      <c r="T145" s="65"/>
      <c r="U145" s="65"/>
      <c r="V145" s="39"/>
      <c r="W145" s="65"/>
      <c r="X145" s="65"/>
      <c r="Y145" s="65"/>
      <c r="Z145" s="39"/>
      <c r="AA145" s="65"/>
      <c r="AB145" s="320"/>
      <c r="AC145" s="301">
        <f t="shared" si="9"/>
        <v>0</v>
      </c>
      <c r="AE145" s="40"/>
    </row>
    <row r="146" spans="1:96" x14ac:dyDescent="0.25">
      <c r="A146" s="126" t="s">
        <v>380</v>
      </c>
      <c r="B146" s="85">
        <f>12.5*1.2*1.57</f>
        <v>23.55</v>
      </c>
      <c r="C146" s="127">
        <v>0</v>
      </c>
      <c r="E146" s="128" t="s">
        <v>380</v>
      </c>
      <c r="F146" s="37"/>
      <c r="G146" s="129">
        <v>0</v>
      </c>
      <c r="I146" s="46" t="s">
        <v>380</v>
      </c>
      <c r="J146" s="38"/>
      <c r="K146" s="46">
        <v>0</v>
      </c>
      <c r="L146" s="46"/>
      <c r="N146" s="46" t="s">
        <v>380</v>
      </c>
      <c r="O146" s="38"/>
      <c r="P146" s="46">
        <v>0</v>
      </c>
      <c r="Q146" s="325">
        <v>0</v>
      </c>
      <c r="R146" s="301">
        <f t="shared" si="8"/>
        <v>0</v>
      </c>
      <c r="T146" s="48"/>
      <c r="U146" s="48" t="s">
        <v>380</v>
      </c>
      <c r="V146" s="39"/>
      <c r="W146" s="131">
        <v>0</v>
      </c>
      <c r="X146" s="131"/>
      <c r="Y146" s="48" t="s">
        <v>380</v>
      </c>
      <c r="Z146" s="39"/>
      <c r="AA146" s="131">
        <v>0</v>
      </c>
      <c r="AB146" s="318">
        <v>0</v>
      </c>
      <c r="AC146" s="301">
        <f t="shared" si="9"/>
        <v>0</v>
      </c>
      <c r="AE146" s="92">
        <f>SUM(C146,G146,P146,AA146)</f>
        <v>0</v>
      </c>
    </row>
    <row r="147" spans="1:96" x14ac:dyDescent="0.25">
      <c r="A147" s="135" t="s">
        <v>381</v>
      </c>
      <c r="B147" s="85">
        <f>11.5*1.2*1.57</f>
        <v>21.666</v>
      </c>
      <c r="C147" s="135">
        <v>0</v>
      </c>
      <c r="D147" s="189"/>
      <c r="E147" s="136" t="s">
        <v>381</v>
      </c>
      <c r="F147" s="37"/>
      <c r="G147" s="136">
        <v>0</v>
      </c>
      <c r="I147" s="137" t="s">
        <v>381</v>
      </c>
      <c r="J147" s="38"/>
      <c r="K147" s="138">
        <f>SUM(K63,K68)</f>
        <v>1500</v>
      </c>
      <c r="L147" s="138"/>
      <c r="N147" s="137" t="s">
        <v>381</v>
      </c>
      <c r="O147" s="38"/>
      <c r="P147" s="138">
        <f>SUM(P63,P68)</f>
        <v>736.66666666666663</v>
      </c>
      <c r="Q147" s="321">
        <v>1500</v>
      </c>
      <c r="R147" s="301">
        <f t="shared" si="8"/>
        <v>-763.33333333333337</v>
      </c>
      <c r="T147" s="73"/>
      <c r="U147" s="73" t="s">
        <v>381</v>
      </c>
      <c r="V147" s="39"/>
      <c r="W147" s="139">
        <f>SUM(W62,W66,W71)</f>
        <v>3795</v>
      </c>
      <c r="X147" s="139"/>
      <c r="Y147" s="73" t="s">
        <v>381</v>
      </c>
      <c r="Z147" s="39"/>
      <c r="AA147" s="139">
        <f>SUM(AA62,AA66,AA71)</f>
        <v>2840.833333333333</v>
      </c>
      <c r="AB147" s="321">
        <v>3795</v>
      </c>
      <c r="AC147" s="301">
        <f t="shared" si="9"/>
        <v>-954.16666666666697</v>
      </c>
      <c r="AE147" s="92">
        <f>SUM(C147,G147,P147,AA147)</f>
        <v>3577.4999999999995</v>
      </c>
    </row>
    <row r="148" spans="1:96" x14ac:dyDescent="0.25">
      <c r="A148" s="113" t="s">
        <v>382</v>
      </c>
      <c r="B148" s="85"/>
      <c r="C148" s="114">
        <f>SUMPRODUCT($B$146:$B$147,C146:C147)</f>
        <v>0</v>
      </c>
      <c r="E148" s="115"/>
      <c r="F148" s="115"/>
      <c r="G148" s="116">
        <f>SUMPRODUCT($B$146:$B$147,G146:G147)</f>
        <v>0</v>
      </c>
      <c r="H148" s="189"/>
      <c r="I148" s="117"/>
      <c r="J148" s="117"/>
      <c r="K148" s="118">
        <f>SUMPRODUCT($B$146:$B$147,K146:K147)</f>
        <v>32499</v>
      </c>
      <c r="L148" s="118"/>
      <c r="N148" s="117"/>
      <c r="O148" s="117"/>
      <c r="P148" s="118">
        <f>SUMPRODUCT($B$146:$B$147,P146:P147)</f>
        <v>15960.619999999999</v>
      </c>
      <c r="Q148" s="316">
        <v>32499</v>
      </c>
      <c r="R148" s="301">
        <f t="shared" si="8"/>
        <v>-16538.38</v>
      </c>
      <c r="S148" s="189"/>
      <c r="T148" s="119"/>
      <c r="U148" s="119"/>
      <c r="V148" s="119"/>
      <c r="W148" s="120">
        <f>SUMPRODUCT($B$146:$B$147,W146:W147)</f>
        <v>82222.47</v>
      </c>
      <c r="X148" s="120"/>
      <c r="Y148" s="119"/>
      <c r="Z148" s="119"/>
      <c r="AA148" s="120">
        <f>SUMPRODUCT($B$146:$B$147,AA146:AA147)</f>
        <v>61549.494999999995</v>
      </c>
      <c r="AB148" s="316">
        <v>82222.47</v>
      </c>
      <c r="AC148" s="301">
        <f t="shared" si="9"/>
        <v>-20672.975000000006</v>
      </c>
      <c r="AD148" s="189"/>
      <c r="AE148" s="121">
        <f>SUM(C148,G148,P148,AA148)</f>
        <v>77510.114999999991</v>
      </c>
      <c r="AG148" s="146"/>
    </row>
    <row r="149" spans="1:96" x14ac:dyDescent="0.25">
      <c r="A149" s="122" t="s">
        <v>370</v>
      </c>
      <c r="B149" s="85"/>
      <c r="C149" s="122">
        <f>('[2]Federal CPFF'!I60)*[2]Assumptions!C134</f>
        <v>0</v>
      </c>
      <c r="E149" s="123"/>
      <c r="F149" s="123"/>
      <c r="G149" s="123">
        <f>('[2]Federal CPFF'!M60)*[2]Assumptions!G134</f>
        <v>0</v>
      </c>
      <c r="I149" s="124"/>
      <c r="J149" s="124"/>
      <c r="K149" s="124"/>
      <c r="L149" s="124"/>
      <c r="N149" s="124"/>
      <c r="O149" s="124"/>
      <c r="P149" s="124"/>
      <c r="Q149" s="319"/>
      <c r="R149" s="301">
        <f t="shared" si="8"/>
        <v>0</v>
      </c>
      <c r="T149" s="125"/>
      <c r="U149" s="125"/>
      <c r="V149" s="125"/>
      <c r="W149" s="125"/>
      <c r="X149" s="125"/>
      <c r="Y149" s="125"/>
      <c r="Z149" s="125"/>
      <c r="AA149" s="125"/>
      <c r="AB149" s="319"/>
      <c r="AC149" s="301">
        <f t="shared" si="9"/>
        <v>0</v>
      </c>
      <c r="AE149" s="121">
        <f>SUM(C149,G149,P149,AA149)</f>
        <v>0</v>
      </c>
      <c r="AG149" s="146"/>
    </row>
    <row r="150" spans="1:96" x14ac:dyDescent="0.25">
      <c r="A150" s="113" t="s">
        <v>383</v>
      </c>
      <c r="B150" s="85"/>
      <c r="C150" s="114">
        <f>SUM(C148:C149)</f>
        <v>0</v>
      </c>
      <c r="E150" s="115"/>
      <c r="F150" s="115"/>
      <c r="G150" s="116">
        <f>SUM(G148:G149)</f>
        <v>0</v>
      </c>
      <c r="I150" s="117"/>
      <c r="J150" s="117"/>
      <c r="K150" s="118">
        <f>SUM(K148:K149)</f>
        <v>32499</v>
      </c>
      <c r="L150" s="118"/>
      <c r="N150" s="117"/>
      <c r="O150" s="117"/>
      <c r="P150" s="118">
        <f>SUM(P148:P149)</f>
        <v>15960.619999999999</v>
      </c>
      <c r="Q150" s="316">
        <v>32499</v>
      </c>
      <c r="R150" s="301">
        <f t="shared" si="8"/>
        <v>-16538.38</v>
      </c>
      <c r="T150" s="119"/>
      <c r="U150" s="119"/>
      <c r="V150" s="119"/>
      <c r="W150" s="120">
        <f>SUM(W148:W149)</f>
        <v>82222.47</v>
      </c>
      <c r="X150" s="120"/>
      <c r="Y150" s="119"/>
      <c r="Z150" s="119"/>
      <c r="AA150" s="120">
        <f>SUM(AA148:AA149)</f>
        <v>61549.494999999995</v>
      </c>
      <c r="AB150" s="316">
        <v>82222.47</v>
      </c>
      <c r="AC150" s="301">
        <f t="shared" si="9"/>
        <v>-20672.975000000006</v>
      </c>
      <c r="AE150" s="121">
        <f>SUM(C150,G150,P150,AA150)</f>
        <v>77510.114999999991</v>
      </c>
      <c r="AG150" s="146"/>
    </row>
    <row r="151" spans="1:96" x14ac:dyDescent="0.25">
      <c r="A151" s="132"/>
      <c r="B151" s="85"/>
      <c r="C151" s="36"/>
      <c r="E151" s="133"/>
      <c r="F151" s="37"/>
      <c r="G151" s="133"/>
      <c r="I151" s="69"/>
      <c r="J151" s="38"/>
      <c r="K151" s="134"/>
      <c r="L151" s="134"/>
      <c r="N151" s="69"/>
      <c r="O151" s="38"/>
      <c r="P151" s="134"/>
      <c r="Q151" s="322"/>
      <c r="R151" s="301">
        <f t="shared" si="8"/>
        <v>0</v>
      </c>
      <c r="T151" s="65"/>
      <c r="U151" s="65"/>
      <c r="V151" s="39"/>
      <c r="W151" s="65"/>
      <c r="X151" s="65"/>
      <c r="Y151" s="65"/>
      <c r="Z151" s="39"/>
      <c r="AA151" s="65"/>
      <c r="AB151" s="320"/>
      <c r="AC151" s="301">
        <f t="shared" si="9"/>
        <v>0</v>
      </c>
      <c r="AE151" s="40"/>
      <c r="AG151" s="146"/>
    </row>
    <row r="152" spans="1:96" x14ac:dyDescent="0.25">
      <c r="A152" s="132" t="s">
        <v>384</v>
      </c>
      <c r="B152" s="85">
        <f>B139</f>
        <v>71.435000000000002</v>
      </c>
      <c r="C152" s="132">
        <v>0</v>
      </c>
      <c r="E152" s="133" t="s">
        <v>384</v>
      </c>
      <c r="F152" s="37"/>
      <c r="G152" s="133">
        <v>0</v>
      </c>
      <c r="I152" s="69" t="s">
        <v>384</v>
      </c>
      <c r="J152" s="38"/>
      <c r="K152" s="134">
        <f>K71</f>
        <v>75</v>
      </c>
      <c r="L152" s="134"/>
      <c r="N152" s="69" t="s">
        <v>384</v>
      </c>
      <c r="O152" s="38"/>
      <c r="P152" s="134">
        <f>P71</f>
        <v>37</v>
      </c>
      <c r="Q152" s="322">
        <v>75</v>
      </c>
      <c r="R152" s="301">
        <f t="shared" si="8"/>
        <v>-38</v>
      </c>
      <c r="T152" s="65"/>
      <c r="U152" s="65" t="s">
        <v>384</v>
      </c>
      <c r="V152" s="39"/>
      <c r="W152" s="140">
        <f>SUM(W55,W74)</f>
        <v>69470</v>
      </c>
      <c r="X152" s="140"/>
      <c r="Y152" s="65" t="s">
        <v>384</v>
      </c>
      <c r="Z152" s="39"/>
      <c r="AA152" s="140">
        <f>SUM(AA55,AA74)</f>
        <v>52102</v>
      </c>
      <c r="AB152" s="322">
        <v>69470</v>
      </c>
      <c r="AC152" s="301">
        <f t="shared" si="9"/>
        <v>-17368</v>
      </c>
      <c r="AE152" s="92">
        <f>SUM(C152,G152,P152,AA152)</f>
        <v>52139</v>
      </c>
      <c r="AG152" s="146"/>
    </row>
    <row r="153" spans="1:96" x14ac:dyDescent="0.25">
      <c r="A153" s="132" t="s">
        <v>385</v>
      </c>
      <c r="B153" s="85">
        <f t="shared" ref="B153:B154" si="10">B140</f>
        <v>54.95</v>
      </c>
      <c r="C153" s="132">
        <v>0</v>
      </c>
      <c r="E153" s="133" t="s">
        <v>385</v>
      </c>
      <c r="F153" s="37"/>
      <c r="G153" s="133">
        <v>0</v>
      </c>
      <c r="I153" s="69" t="s">
        <v>385</v>
      </c>
      <c r="J153" s="38"/>
      <c r="K153" s="134">
        <f t="shared" ref="K153:K154" si="11">K72</f>
        <v>75</v>
      </c>
      <c r="L153" s="134"/>
      <c r="N153" s="69" t="s">
        <v>385</v>
      </c>
      <c r="O153" s="38"/>
      <c r="P153" s="134">
        <f t="shared" ref="P153:P154" si="12">P72</f>
        <v>37</v>
      </c>
      <c r="Q153" s="322">
        <v>75</v>
      </c>
      <c r="R153" s="301">
        <f t="shared" si="8"/>
        <v>-38</v>
      </c>
      <c r="T153" s="65"/>
      <c r="U153" s="65" t="s">
        <v>385</v>
      </c>
      <c r="V153" s="39"/>
      <c r="W153" s="140">
        <f t="shared" ref="W153:W154" si="13">SUM(W56,W75)</f>
        <v>69470</v>
      </c>
      <c r="X153" s="140"/>
      <c r="Y153" s="65" t="s">
        <v>385</v>
      </c>
      <c r="Z153" s="39"/>
      <c r="AA153" s="140">
        <f t="shared" ref="AA153:AA154" si="14">SUM(AA56,AA75)</f>
        <v>52102</v>
      </c>
      <c r="AB153" s="322">
        <v>69470</v>
      </c>
      <c r="AC153" s="301">
        <f t="shared" si="9"/>
        <v>-17368</v>
      </c>
      <c r="AE153" s="92">
        <f>SUM(C153,G153,P153,AA153)</f>
        <v>52139</v>
      </c>
    </row>
    <row r="154" spans="1:96" x14ac:dyDescent="0.25">
      <c r="A154" s="132" t="s">
        <v>386</v>
      </c>
      <c r="B154" s="85">
        <f t="shared" si="10"/>
        <v>76.930000000000007</v>
      </c>
      <c r="C154" s="132">
        <v>0</v>
      </c>
      <c r="E154" s="133" t="s">
        <v>386</v>
      </c>
      <c r="F154" s="37"/>
      <c r="G154" s="133">
        <v>0</v>
      </c>
      <c r="I154" s="69" t="s">
        <v>386</v>
      </c>
      <c r="J154" s="38"/>
      <c r="K154" s="134">
        <f t="shared" si="11"/>
        <v>75</v>
      </c>
      <c r="L154" s="134"/>
      <c r="N154" s="69" t="s">
        <v>386</v>
      </c>
      <c r="O154" s="38"/>
      <c r="P154" s="134">
        <f t="shared" si="12"/>
        <v>37</v>
      </c>
      <c r="Q154" s="322">
        <v>75</v>
      </c>
      <c r="R154" s="301">
        <f t="shared" si="8"/>
        <v>-38</v>
      </c>
      <c r="T154" s="65"/>
      <c r="U154" s="65" t="s">
        <v>386</v>
      </c>
      <c r="V154" s="39"/>
      <c r="W154" s="140">
        <f t="shared" si="13"/>
        <v>69470</v>
      </c>
      <c r="X154" s="140"/>
      <c r="Y154" s="65" t="s">
        <v>386</v>
      </c>
      <c r="Z154" s="39"/>
      <c r="AA154" s="140">
        <f t="shared" si="14"/>
        <v>52102</v>
      </c>
      <c r="AB154" s="322">
        <v>69470</v>
      </c>
      <c r="AC154" s="301">
        <f t="shared" si="9"/>
        <v>-17368</v>
      </c>
      <c r="AE154" s="92">
        <f>SUM(C154,G154,P154,AA154)</f>
        <v>52139</v>
      </c>
    </row>
    <row r="155" spans="1:96" x14ac:dyDescent="0.25">
      <c r="A155" s="113" t="s">
        <v>387</v>
      </c>
      <c r="B155" s="85"/>
      <c r="C155" s="114">
        <f>SUMPRODUCT($B$133:$B$141,C146:C154)</f>
        <v>0</v>
      </c>
      <c r="E155" s="115"/>
      <c r="F155" s="115"/>
      <c r="G155" s="116">
        <f>SUMPRODUCT($B$133:$B$141,G146:G154)</f>
        <v>0</v>
      </c>
      <c r="I155" s="117"/>
      <c r="J155" s="117"/>
      <c r="K155" s="118">
        <f>SUMPRODUCT($B$152:$B$154,K152:K154)</f>
        <v>15248.625</v>
      </c>
      <c r="L155" s="118"/>
      <c r="N155" s="117"/>
      <c r="O155" s="117"/>
      <c r="P155" s="118">
        <f>SUMPRODUCT($B$152:$B$154,P152:P154)</f>
        <v>7522.6550000000007</v>
      </c>
      <c r="Q155" s="316">
        <v>12940.725</v>
      </c>
      <c r="R155" s="301">
        <f t="shared" si="8"/>
        <v>-5418.07</v>
      </c>
      <c r="T155" s="119"/>
      <c r="U155" s="119"/>
      <c r="V155" s="119"/>
      <c r="W155" s="120">
        <f>SUMPRODUCT($B$152:$B$154,W152:W154)</f>
        <v>14124293.050000001</v>
      </c>
      <c r="X155" s="120"/>
      <c r="Y155" s="119"/>
      <c r="Z155" s="119"/>
      <c r="AA155" s="120">
        <f>SUMPRODUCT($B$152:$B$154,AA152:AA154)</f>
        <v>10593118.130000001</v>
      </c>
      <c r="AB155" s="316">
        <v>11986562.209999999</v>
      </c>
      <c r="AC155" s="301">
        <f t="shared" si="9"/>
        <v>-1393444.0799999982</v>
      </c>
      <c r="AE155" s="121">
        <f>SUM(C155,G155,P155,AA155)</f>
        <v>10600640.785</v>
      </c>
      <c r="AG155" s="147"/>
    </row>
    <row r="156" spans="1:96" x14ac:dyDescent="0.25">
      <c r="A156" s="122" t="s">
        <v>370</v>
      </c>
      <c r="B156" s="85"/>
      <c r="C156" s="122"/>
      <c r="E156" s="123"/>
      <c r="F156" s="123"/>
      <c r="G156" s="123"/>
      <c r="I156" s="124"/>
      <c r="J156" s="124"/>
      <c r="K156" s="124"/>
      <c r="L156" s="124"/>
      <c r="N156" s="124"/>
      <c r="O156" s="124"/>
      <c r="P156" s="124"/>
      <c r="Q156" s="319"/>
      <c r="R156" s="301">
        <f t="shared" si="8"/>
        <v>0</v>
      </c>
      <c r="T156" s="125"/>
      <c r="U156" s="125"/>
      <c r="V156" s="125"/>
      <c r="W156" s="125"/>
      <c r="X156" s="125"/>
      <c r="Y156" s="125"/>
      <c r="Z156" s="125"/>
      <c r="AA156" s="125"/>
      <c r="AB156" s="319"/>
      <c r="AC156" s="301">
        <f t="shared" si="9"/>
        <v>0</v>
      </c>
      <c r="AE156" s="121">
        <f>SUM(C156,G156,P156,AA156)</f>
        <v>0</v>
      </c>
      <c r="AG156" s="147"/>
    </row>
    <row r="157" spans="1:96" x14ac:dyDescent="0.25">
      <c r="A157" s="113" t="s">
        <v>388</v>
      </c>
      <c r="B157" s="85"/>
      <c r="C157" s="114">
        <f>SUM(C155:C156)</f>
        <v>0</v>
      </c>
      <c r="E157" s="115"/>
      <c r="F157" s="115"/>
      <c r="G157" s="116">
        <f>SUM(G155:G156)</f>
        <v>0</v>
      </c>
      <c r="I157" s="117"/>
      <c r="J157" s="117"/>
      <c r="K157" s="118">
        <f>SUM(K155:K156)</f>
        <v>15248.625</v>
      </c>
      <c r="L157" s="118"/>
      <c r="N157" s="117"/>
      <c r="O157" s="117"/>
      <c r="P157" s="118">
        <f>SUM(P155:P156)</f>
        <v>7522.6550000000007</v>
      </c>
      <c r="Q157" s="316">
        <v>12940.725</v>
      </c>
      <c r="R157" s="301">
        <f t="shared" si="8"/>
        <v>-5418.07</v>
      </c>
      <c r="T157" s="119"/>
      <c r="U157" s="119"/>
      <c r="V157" s="119"/>
      <c r="W157" s="120">
        <f>SUM(W155:W156)</f>
        <v>14124293.050000001</v>
      </c>
      <c r="X157" s="120"/>
      <c r="Y157" s="119"/>
      <c r="Z157" s="119"/>
      <c r="AA157" s="120">
        <f>SUM(AA155:AA156)</f>
        <v>10593118.130000001</v>
      </c>
      <c r="AB157" s="316">
        <v>11986562.209999999</v>
      </c>
      <c r="AC157" s="301">
        <f t="shared" si="9"/>
        <v>-1393444.0799999982</v>
      </c>
      <c r="AE157" s="40"/>
      <c r="AG157" s="147"/>
    </row>
    <row r="158" spans="1:96" x14ac:dyDescent="0.25">
      <c r="A158" s="132"/>
      <c r="B158" s="85"/>
      <c r="C158" s="36"/>
      <c r="E158" s="133"/>
      <c r="F158" s="37"/>
      <c r="G158" s="133"/>
      <c r="I158" s="69"/>
      <c r="J158" s="38"/>
      <c r="K158" s="134"/>
      <c r="L158" s="134"/>
      <c r="N158" s="69"/>
      <c r="O158" s="38"/>
      <c r="P158" s="134"/>
      <c r="Q158" s="322"/>
      <c r="R158" s="301">
        <f t="shared" si="8"/>
        <v>0</v>
      </c>
      <c r="T158" s="65"/>
      <c r="U158" s="65"/>
      <c r="V158" s="39"/>
      <c r="W158" s="65"/>
      <c r="X158" s="65"/>
      <c r="Y158" s="65"/>
      <c r="Z158" s="39"/>
      <c r="AA158" s="65"/>
      <c r="AB158" s="320"/>
      <c r="AC158" s="301">
        <f t="shared" si="9"/>
        <v>0</v>
      </c>
      <c r="AE158" s="40"/>
    </row>
    <row r="159" spans="1:96" x14ac:dyDescent="0.25">
      <c r="A159" s="113" t="s">
        <v>371</v>
      </c>
      <c r="B159" s="85"/>
      <c r="C159" s="114">
        <f>SUM(C130,C136,C144,C150,C157)</f>
        <v>7595039.5360000003</v>
      </c>
      <c r="E159" s="115"/>
      <c r="F159" s="115"/>
      <c r="G159" s="116">
        <f>SUM(G130,G136,G144,G150,G157)</f>
        <v>37088524.480000004</v>
      </c>
      <c r="I159" s="117"/>
      <c r="J159" s="117"/>
      <c r="K159" s="118">
        <f>SUM(K130,K136,K144,K150,K157)</f>
        <v>61500852.161000006</v>
      </c>
      <c r="L159" s="118"/>
      <c r="N159" s="117"/>
      <c r="O159" s="117"/>
      <c r="P159" s="118">
        <f>SUM(P130,P136,P144,P150,P157)</f>
        <v>61142529.491000004</v>
      </c>
      <c r="Q159" s="316">
        <v>82552966.460999995</v>
      </c>
      <c r="R159" s="301">
        <f t="shared" si="8"/>
        <v>-21410436.969999991</v>
      </c>
      <c r="T159" s="119"/>
      <c r="U159" s="119"/>
      <c r="V159" s="119"/>
      <c r="W159" s="120">
        <f>SUM(W130,W136,W144,W150,W157)</f>
        <v>109615884.008</v>
      </c>
      <c r="X159" s="120"/>
      <c r="Y159" s="119"/>
      <c r="Z159" s="119"/>
      <c r="AA159" s="120">
        <f>SUM(AA130,AA136,AA144,AA150,AA157)</f>
        <v>82260206.048999995</v>
      </c>
      <c r="AB159" s="316">
        <v>91779474.479999989</v>
      </c>
      <c r="AC159" s="301">
        <f t="shared" si="9"/>
        <v>-9519268.4309999943</v>
      </c>
      <c r="AE159" s="121">
        <f>SUM(C159,G159,P159,AA159)</f>
        <v>188086299.55599999</v>
      </c>
      <c r="CR159" s="168"/>
    </row>
    <row r="160" spans="1:96" x14ac:dyDescent="0.25">
      <c r="A160" s="132"/>
      <c r="B160" s="85"/>
      <c r="C160" s="36"/>
      <c r="E160" s="133"/>
      <c r="F160" s="37"/>
      <c r="G160" s="133"/>
      <c r="I160" s="69"/>
      <c r="J160" s="38"/>
      <c r="K160" s="134"/>
      <c r="L160" s="134"/>
      <c r="N160" s="69"/>
      <c r="O160" s="38"/>
      <c r="P160" s="134"/>
      <c r="Q160" s="322"/>
      <c r="R160" s="301">
        <f t="shared" si="8"/>
        <v>0</v>
      </c>
      <c r="T160" s="65"/>
      <c r="U160" s="65"/>
      <c r="V160" s="39"/>
      <c r="W160" s="65"/>
      <c r="X160" s="65"/>
      <c r="Y160" s="65"/>
      <c r="Z160" s="39"/>
      <c r="AA160" s="65"/>
      <c r="AB160" s="320"/>
      <c r="AC160" s="301">
        <f t="shared" si="9"/>
        <v>0</v>
      </c>
      <c r="AE160" s="40"/>
      <c r="AG160" s="147"/>
    </row>
    <row r="161" spans="1:31" x14ac:dyDescent="0.25">
      <c r="A161" s="142" t="s">
        <v>389</v>
      </c>
      <c r="B161" s="142"/>
      <c r="C161" s="142"/>
      <c r="E161" s="143" t="s">
        <v>389</v>
      </c>
      <c r="F161" s="143"/>
      <c r="G161" s="143"/>
      <c r="I161" s="144" t="s">
        <v>389</v>
      </c>
      <c r="J161" s="144"/>
      <c r="K161" s="144"/>
      <c r="L161" s="144"/>
      <c r="N161" s="144" t="s">
        <v>389</v>
      </c>
      <c r="O161" s="144"/>
      <c r="P161" s="144"/>
      <c r="Q161" s="298"/>
      <c r="R161" s="301">
        <f t="shared" si="8"/>
        <v>0</v>
      </c>
      <c r="T161" s="145"/>
      <c r="U161" s="145" t="s">
        <v>389</v>
      </c>
      <c r="V161" s="145"/>
      <c r="W161" s="145"/>
      <c r="X161" s="145"/>
      <c r="Y161" s="145" t="s">
        <v>389</v>
      </c>
      <c r="Z161" s="145"/>
      <c r="AA161" s="145"/>
      <c r="AB161" s="298"/>
      <c r="AC161" s="301">
        <f t="shared" si="9"/>
        <v>0</v>
      </c>
      <c r="AE161" s="40"/>
    </row>
    <row r="162" spans="1:31" x14ac:dyDescent="0.25">
      <c r="A162" s="36" t="s">
        <v>390</v>
      </c>
      <c r="B162" s="36"/>
      <c r="C162" s="68">
        <f>(SUM(C124:C127,C139:C141,C152:C154)*5.1+SUM(C146)*3.85+C147*0.25*3.85)*1.57</f>
        <v>463877.53799999994</v>
      </c>
      <c r="E162" s="37" t="s">
        <v>390</v>
      </c>
      <c r="F162" s="37"/>
      <c r="G162" s="84">
        <f>(SUM(G124:G127,G139:G141,G152:G154)*5.1+SUM(G146)*3.85+G147*0.25*3.85)*1.57</f>
        <v>2264059.3200000003</v>
      </c>
      <c r="I162" s="38" t="s">
        <v>390</v>
      </c>
      <c r="J162" s="38"/>
      <c r="K162" s="76">
        <v>2771695.8195000002</v>
      </c>
      <c r="L162" s="76"/>
      <c r="N162" s="38" t="s">
        <v>390</v>
      </c>
      <c r="O162" s="38"/>
      <c r="P162" s="76">
        <f>(SUM(P124:P127,P139:P141,P152:P154)*5.1+SUM(P146)*3.85+P147*0.25*3.85)*1.57</f>
        <v>1686362.4994166668</v>
      </c>
      <c r="Q162" s="311">
        <v>2771695.8194999998</v>
      </c>
      <c r="R162" s="301">
        <f t="shared" si="8"/>
        <v>-1085333.3200833329</v>
      </c>
      <c r="T162" s="39"/>
      <c r="U162" s="39" t="s">
        <v>390</v>
      </c>
      <c r="V162" s="39"/>
      <c r="W162" s="77">
        <v>2175567.663375</v>
      </c>
      <c r="X162" s="77"/>
      <c r="Y162" s="39" t="s">
        <v>390</v>
      </c>
      <c r="Z162" s="39"/>
      <c r="AA162" s="77">
        <f>(SUM(AA124:AA127,AA139:AA141,AA152:AA154)*5.1+SUM(AA146)*3.85+AA147*0.25*3.85)*1.57</f>
        <v>1631643.5412708335</v>
      </c>
      <c r="AB162" s="311">
        <v>2175567.663375</v>
      </c>
      <c r="AC162" s="301">
        <f t="shared" si="9"/>
        <v>-543924.12210416654</v>
      </c>
      <c r="AE162" s="121">
        <f>SUM(C162,G162,P162,AA162)</f>
        <v>6045942.8986875005</v>
      </c>
    </row>
    <row r="163" spans="1:31" x14ac:dyDescent="0.25">
      <c r="A163" s="36" t="str">
        <f>'[2]Federal CPFF'!$F$640</f>
        <v>Survey Ops. Phone,  &amp; Cell Phone (See Schedule)</v>
      </c>
      <c r="B163" s="36"/>
      <c r="C163" s="68">
        <v>0</v>
      </c>
      <c r="E163" s="37" t="s">
        <v>391</v>
      </c>
      <c r="F163" s="37"/>
      <c r="G163" s="84">
        <v>0</v>
      </c>
      <c r="I163" s="38" t="s">
        <v>391</v>
      </c>
      <c r="J163" s="38"/>
      <c r="K163" s="76">
        <v>0</v>
      </c>
      <c r="L163" s="76"/>
      <c r="N163" s="38" t="s">
        <v>391</v>
      </c>
      <c r="O163" s="38"/>
      <c r="P163" s="76">
        <v>0</v>
      </c>
      <c r="Q163" s="311">
        <v>0</v>
      </c>
      <c r="R163" s="301">
        <f t="shared" si="8"/>
        <v>0</v>
      </c>
      <c r="T163" s="39">
        <f>W163*$W$3/$W$7</f>
        <v>1270.5696</v>
      </c>
      <c r="U163" s="39" t="s">
        <v>391</v>
      </c>
      <c r="V163" s="39"/>
      <c r="W163" s="77">
        <v>635.28480000000002</v>
      </c>
      <c r="X163" s="77"/>
      <c r="Y163" s="39" t="s">
        <v>391</v>
      </c>
      <c r="Z163" s="39"/>
      <c r="AA163" s="77">
        <f>T163*$AB$1</f>
        <v>635.28480000000002</v>
      </c>
      <c r="AB163" s="311">
        <v>635.28480000000002</v>
      </c>
      <c r="AC163" s="301">
        <f t="shared" si="9"/>
        <v>0</v>
      </c>
      <c r="AE163" s="121">
        <f>SUM(C163,G163,P163,AA163)</f>
        <v>635.28480000000002</v>
      </c>
    </row>
    <row r="164" spans="1:31" x14ac:dyDescent="0.25">
      <c r="A164" s="36" t="str">
        <f>'[2]Federal CPFF'!F641</f>
        <v>Messenger &amp; Shipping (See Schedule)</v>
      </c>
      <c r="B164" s="36"/>
      <c r="C164" s="68">
        <f>C11*1.57*6.3</f>
        <v>39.564</v>
      </c>
      <c r="E164" s="37" t="s">
        <v>392</v>
      </c>
      <c r="F164" s="37"/>
      <c r="G164" s="84">
        <f>G14*6.3*1.57</f>
        <v>39.564</v>
      </c>
      <c r="I164" s="38" t="s">
        <v>392</v>
      </c>
      <c r="J164" s="38"/>
      <c r="K164" s="76">
        <v>617017.30992000003</v>
      </c>
      <c r="L164" s="76"/>
      <c r="N164" s="38" t="s">
        <v>392</v>
      </c>
      <c r="O164" s="38"/>
      <c r="P164" s="76">
        <f>P12*P13*P14*P8*6.303*1.57</f>
        <v>308508.65496000001</v>
      </c>
      <c r="Q164" s="311">
        <v>617017.30992000003</v>
      </c>
      <c r="R164" s="301">
        <f t="shared" si="8"/>
        <v>-308508.65496000001</v>
      </c>
      <c r="T164" s="39"/>
      <c r="U164" s="39" t="s">
        <v>392</v>
      </c>
      <c r="V164" s="39"/>
      <c r="W164" s="77">
        <v>0</v>
      </c>
      <c r="X164" s="77"/>
      <c r="Y164" s="39" t="s">
        <v>392</v>
      </c>
      <c r="Z164" s="39"/>
      <c r="AA164" s="77">
        <v>0</v>
      </c>
      <c r="AB164" s="311">
        <v>0</v>
      </c>
      <c r="AC164" s="301">
        <f t="shared" si="9"/>
        <v>0</v>
      </c>
      <c r="AE164" s="121">
        <f>SUM(C164,G164,P164,AA164)</f>
        <v>308587.78296000004</v>
      </c>
    </row>
    <row r="165" spans="1:31" x14ac:dyDescent="0.25">
      <c r="A165" s="36" t="str">
        <f>'[2]Federal CPFF'!F642</f>
        <v>Postage (See Schedule)</v>
      </c>
      <c r="B165" s="36"/>
      <c r="C165" s="68">
        <v>0</v>
      </c>
      <c r="E165" s="37" t="s">
        <v>393</v>
      </c>
      <c r="F165" s="37"/>
      <c r="G165" s="84">
        <v>0</v>
      </c>
      <c r="I165" s="38" t="s">
        <v>393</v>
      </c>
      <c r="J165" s="38"/>
      <c r="K165" s="76">
        <v>0</v>
      </c>
      <c r="L165" s="76"/>
      <c r="N165" s="38" t="s">
        <v>393</v>
      </c>
      <c r="O165" s="38"/>
      <c r="P165" s="76">
        <v>0</v>
      </c>
      <c r="Q165" s="311">
        <v>0</v>
      </c>
      <c r="R165" s="301">
        <f t="shared" si="8"/>
        <v>0</v>
      </c>
      <c r="T165" s="39"/>
      <c r="U165" s="39" t="s">
        <v>393</v>
      </c>
      <c r="V165" s="39"/>
      <c r="W165" s="77">
        <v>121178.88</v>
      </c>
      <c r="X165" s="77"/>
      <c r="Y165" s="39" t="s">
        <v>393</v>
      </c>
      <c r="Z165" s="39"/>
      <c r="AA165" s="77">
        <f>(AA60*AA61*0.48+AA60*AA61*0.86)*1.57</f>
        <v>121178.88</v>
      </c>
      <c r="AB165" s="311">
        <v>121178.88</v>
      </c>
      <c r="AC165" s="301">
        <f t="shared" si="9"/>
        <v>0</v>
      </c>
      <c r="AE165" s="121">
        <f>SUM(C165,G165,P165,AA165)</f>
        <v>121178.88</v>
      </c>
    </row>
    <row r="166" spans="1:31" x14ac:dyDescent="0.25">
      <c r="A166" s="36" t="str">
        <f>'[2]Federal CPFF'!F643</f>
        <v>Travel (See Schedule)</v>
      </c>
      <c r="B166" s="36"/>
      <c r="C166" s="68">
        <f>SUM('Recruitment Travel'!AB59:AB62)</f>
        <v>2120166.3356320001</v>
      </c>
      <c r="E166" s="37" t="s">
        <v>394</v>
      </c>
      <c r="F166" s="37"/>
      <c r="G166" s="84">
        <f>SUM('Recruitment Travel'!AB63:AB66)</f>
        <v>2344995.6233919999</v>
      </c>
      <c r="I166" s="38" t="s">
        <v>394</v>
      </c>
      <c r="J166" s="38"/>
      <c r="K166" s="76">
        <v>5399869.7750000004</v>
      </c>
      <c r="L166" s="76"/>
      <c r="N166" s="38" t="s">
        <v>394</v>
      </c>
      <c r="O166" s="38"/>
      <c r="P166" s="76">
        <f>SUM('Recruitment Travel'!AB67:AB69)</f>
        <v>2159934.5348559995</v>
      </c>
      <c r="Q166" s="311">
        <v>3791273.9337119991</v>
      </c>
      <c r="R166" s="301">
        <f t="shared" si="8"/>
        <v>-1631339.3988559996</v>
      </c>
      <c r="T166" s="39"/>
      <c r="U166" s="39" t="s">
        <v>394</v>
      </c>
      <c r="V166" s="39"/>
      <c r="W166" s="77">
        <f>SUM('Recruitment Travel'!AB70:AB72)</f>
        <v>2633707.2766879993</v>
      </c>
      <c r="X166" s="77"/>
      <c r="Y166" s="39" t="s">
        <v>394</v>
      </c>
      <c r="Z166" s="39"/>
      <c r="AA166" s="77">
        <f>SUM('Recruitment Travel'!AB70:AB72)</f>
        <v>2633707.2766879993</v>
      </c>
      <c r="AB166" s="311">
        <v>4954192.5021919999</v>
      </c>
      <c r="AC166" s="301">
        <f t="shared" si="9"/>
        <v>-2320485.2255040007</v>
      </c>
      <c r="AE166" s="121">
        <f>SUM(C166,G166,P166,AA166)</f>
        <v>9258803.7705679983</v>
      </c>
    </row>
    <row r="167" spans="1:31" x14ac:dyDescent="0.25">
      <c r="A167" s="36" t="s">
        <v>395</v>
      </c>
      <c r="B167" s="36"/>
      <c r="C167" s="68"/>
      <c r="E167" s="37" t="s">
        <v>395</v>
      </c>
      <c r="F167" s="37"/>
      <c r="G167" s="84"/>
      <c r="I167" s="38" t="s">
        <v>395</v>
      </c>
      <c r="J167" s="38"/>
      <c r="K167" s="76"/>
      <c r="L167" s="76"/>
      <c r="N167" s="38" t="s">
        <v>395</v>
      </c>
      <c r="O167" s="38"/>
      <c r="P167" s="76"/>
      <c r="Q167" s="311"/>
      <c r="R167" s="301">
        <f t="shared" si="8"/>
        <v>0</v>
      </c>
      <c r="T167" s="39"/>
      <c r="U167" s="39" t="s">
        <v>395</v>
      </c>
      <c r="V167" s="39"/>
      <c r="W167" s="77"/>
      <c r="X167" s="77"/>
      <c r="Y167" s="39" t="s">
        <v>395</v>
      </c>
      <c r="Z167" s="39"/>
      <c r="AA167" s="77"/>
      <c r="AB167" s="311"/>
      <c r="AC167" s="301">
        <f t="shared" si="9"/>
        <v>0</v>
      </c>
      <c r="AE167" s="121"/>
    </row>
    <row r="168" spans="1:31" x14ac:dyDescent="0.25">
      <c r="A168" s="36" t="s">
        <v>396</v>
      </c>
      <c r="B168" s="36"/>
      <c r="C168" s="68">
        <v>1279550</v>
      </c>
      <c r="E168" s="37" t="s">
        <v>396</v>
      </c>
      <c r="F168" s="37"/>
      <c r="G168" s="84">
        <v>0</v>
      </c>
      <c r="I168" s="38" t="s">
        <v>396</v>
      </c>
      <c r="J168" s="38"/>
      <c r="K168" s="76">
        <v>0</v>
      </c>
      <c r="L168" s="76"/>
      <c r="N168" s="38" t="s">
        <v>396</v>
      </c>
      <c r="O168" s="38"/>
      <c r="P168" s="76">
        <v>0</v>
      </c>
      <c r="Q168" s="311">
        <v>0</v>
      </c>
      <c r="R168" s="301">
        <f t="shared" si="8"/>
        <v>0</v>
      </c>
      <c r="T168" s="39"/>
      <c r="U168" s="39" t="s">
        <v>396</v>
      </c>
      <c r="V168" s="39"/>
      <c r="W168" s="77">
        <v>0</v>
      </c>
      <c r="X168" s="77"/>
      <c r="Y168" s="39" t="s">
        <v>396</v>
      </c>
      <c r="Z168" s="39"/>
      <c r="AA168" s="77">
        <v>0</v>
      </c>
      <c r="AB168" s="311">
        <v>0</v>
      </c>
      <c r="AC168" s="301">
        <f t="shared" si="9"/>
        <v>0</v>
      </c>
      <c r="AE168" s="121">
        <f>SUM(C168,G168,P168,AA168)</f>
        <v>1279550</v>
      </c>
    </row>
    <row r="169" spans="1:31" x14ac:dyDescent="0.25">
      <c r="A169" s="36" t="str">
        <f>'[2]Federal CPFF'!F645</f>
        <v>Printing (See Schedule)</v>
      </c>
      <c r="B169" s="36"/>
      <c r="C169" s="68">
        <v>0</v>
      </c>
      <c r="E169" s="37" t="s">
        <v>397</v>
      </c>
      <c r="F169" s="37"/>
      <c r="G169" s="84">
        <v>0</v>
      </c>
      <c r="I169" s="38" t="s">
        <v>397</v>
      </c>
      <c r="J169" s="38"/>
      <c r="K169" s="76">
        <v>290004.12</v>
      </c>
      <c r="L169" s="76"/>
      <c r="N169" s="38" t="s">
        <v>397</v>
      </c>
      <c r="O169" s="38"/>
      <c r="P169" s="76">
        <f>(ROUND(P7*1.4,0)*0.106+ROUND(P7*1.4,0)*2.5+ROUND(P7*1.4,0)*0.326)*1.57</f>
        <v>142424.24559999999</v>
      </c>
      <c r="Q169" s="311">
        <v>290004.12</v>
      </c>
      <c r="R169" s="301">
        <f t="shared" si="8"/>
        <v>-147579.8744</v>
      </c>
      <c r="T169" s="39"/>
      <c r="U169" s="39" t="s">
        <v>397</v>
      </c>
      <c r="V169" s="39"/>
      <c r="W169" s="77">
        <v>290004.12</v>
      </c>
      <c r="X169" s="77"/>
      <c r="Y169" s="39" t="s">
        <v>397</v>
      </c>
      <c r="Z169" s="39"/>
      <c r="AA169" s="77">
        <f>(AA7*0.106*1.4+AA7*2.5*1.4+AA7*0.326*1.4)*1.57</f>
        <v>142424.24559999999</v>
      </c>
      <c r="AB169" s="311">
        <v>290004.12</v>
      </c>
      <c r="AC169" s="301">
        <f t="shared" si="9"/>
        <v>-147579.8744</v>
      </c>
      <c r="AE169" s="121">
        <f>SUM(C169,G169,P169,AA169)</f>
        <v>284848.49119999999</v>
      </c>
    </row>
    <row r="170" spans="1:31" x14ac:dyDescent="0.25">
      <c r="A170" s="36" t="str">
        <f>'[2]Federal CPFF'!F646</f>
        <v>Field Survey Oper. Support (Dept. 51) @</v>
      </c>
      <c r="B170" s="36"/>
      <c r="C170" s="68">
        <v>0</v>
      </c>
      <c r="E170" s="37" t="s">
        <v>398</v>
      </c>
      <c r="F170" s="37"/>
      <c r="G170" s="84">
        <v>0</v>
      </c>
      <c r="I170" s="38" t="s">
        <v>398</v>
      </c>
      <c r="J170" s="38"/>
      <c r="K170" s="76">
        <v>3595180.68</v>
      </c>
      <c r="L170" s="76"/>
      <c r="N170" s="38" t="s">
        <v>398</v>
      </c>
      <c r="O170" s="38"/>
      <c r="P170" s="76">
        <f>P133*1.3*1.57</f>
        <v>2201830.8000000003</v>
      </c>
      <c r="Q170" s="311">
        <v>3562165.4640000006</v>
      </c>
      <c r="R170" s="301">
        <f t="shared" si="8"/>
        <v>-1360334.6640000003</v>
      </c>
      <c r="T170" s="39"/>
      <c r="U170" s="39" t="s">
        <v>398</v>
      </c>
      <c r="V170" s="39"/>
      <c r="W170" s="77">
        <v>4243055.3099999996</v>
      </c>
      <c r="X170" s="77"/>
      <c r="Y170" s="39" t="s">
        <v>398</v>
      </c>
      <c r="Z170" s="39"/>
      <c r="AA170" s="77">
        <f>SUM(AA133)*1.57*1.3</f>
        <v>3191087.1720000003</v>
      </c>
      <c r="AB170" s="311">
        <v>4251725.4780000001</v>
      </c>
      <c r="AC170" s="301">
        <f t="shared" si="9"/>
        <v>-1060638.3059999999</v>
      </c>
      <c r="AE170" s="121">
        <f>SUM(C170,G170,P170,AA170)</f>
        <v>5392917.972000001</v>
      </c>
    </row>
    <row r="171" spans="1:31" x14ac:dyDescent="0.25">
      <c r="A171" s="36" t="str">
        <f>'[2]Federal CPFF'!F647</f>
        <v>Facilities (Depts. 39, 53) @</v>
      </c>
      <c r="B171" s="36"/>
      <c r="C171" s="68">
        <v>0</v>
      </c>
      <c r="E171" s="37" t="s">
        <v>399</v>
      </c>
      <c r="F171" s="37"/>
      <c r="G171" s="84">
        <v>0</v>
      </c>
      <c r="I171" s="38" t="s">
        <v>399</v>
      </c>
      <c r="J171" s="38"/>
      <c r="K171" s="76">
        <v>2272694.6340000001</v>
      </c>
      <c r="L171" s="76"/>
      <c r="N171" s="38" t="s">
        <v>399</v>
      </c>
      <c r="O171" s="38"/>
      <c r="P171" s="76">
        <f>SUM(P139:P141,P152:P154,P146:P147)*4.2*1.57</f>
        <v>1376086.4739999999</v>
      </c>
      <c r="Q171" s="311">
        <v>2272694.6340000001</v>
      </c>
      <c r="R171" s="301">
        <f t="shared" si="8"/>
        <v>-896608.16000000015</v>
      </c>
      <c r="T171" s="39"/>
      <c r="U171" s="39" t="s">
        <v>399</v>
      </c>
      <c r="V171" s="39"/>
      <c r="W171" s="77">
        <v>1399279.77</v>
      </c>
      <c r="X171" s="77"/>
      <c r="Y171" s="39" t="s">
        <v>399</v>
      </c>
      <c r="Z171" s="39"/>
      <c r="AA171" s="77">
        <f>SUM(AA152:AA154,AA146:AA147,AA139:AA141)*4.2*1.57</f>
        <v>1049414.219</v>
      </c>
      <c r="AB171" s="311">
        <v>1399279.77</v>
      </c>
      <c r="AC171" s="301">
        <f t="shared" si="9"/>
        <v>-349865.55099999998</v>
      </c>
      <c r="AE171" s="121">
        <f>SUM(C171,G171,P171,AA171)</f>
        <v>2425500.693</v>
      </c>
    </row>
    <row r="172" spans="1:31" x14ac:dyDescent="0.25">
      <c r="A172" s="36"/>
      <c r="B172" s="36"/>
      <c r="C172" s="36"/>
      <c r="E172" s="37"/>
      <c r="F172" s="37"/>
      <c r="G172" s="37"/>
      <c r="I172" s="38"/>
      <c r="J172" s="38"/>
      <c r="K172" s="38"/>
      <c r="L172" s="38"/>
      <c r="N172" s="38"/>
      <c r="O172" s="38"/>
      <c r="P172" s="38"/>
      <c r="R172" s="301">
        <f t="shared" si="8"/>
        <v>0</v>
      </c>
      <c r="T172" s="39"/>
      <c r="U172" s="39"/>
      <c r="V172" s="39"/>
      <c r="W172" s="39"/>
      <c r="X172" s="39"/>
      <c r="Y172" s="39"/>
      <c r="Z172" s="39"/>
      <c r="AA172" s="39"/>
      <c r="AC172" s="301">
        <f t="shared" si="9"/>
        <v>0</v>
      </c>
      <c r="AE172" s="40"/>
    </row>
    <row r="173" spans="1:31" x14ac:dyDescent="0.25">
      <c r="A173" s="36" t="s">
        <v>400</v>
      </c>
      <c r="B173" s="36"/>
      <c r="C173" s="36"/>
      <c r="E173" s="37" t="s">
        <v>400</v>
      </c>
      <c r="F173" s="37"/>
      <c r="G173" s="37"/>
      <c r="I173" s="38" t="s">
        <v>400</v>
      </c>
      <c r="J173" s="38"/>
      <c r="K173" s="76"/>
      <c r="L173" s="76"/>
      <c r="N173" s="38" t="s">
        <v>400</v>
      </c>
      <c r="O173" s="38"/>
      <c r="P173" s="76"/>
      <c r="Q173" s="311"/>
      <c r="R173" s="301">
        <f t="shared" si="8"/>
        <v>0</v>
      </c>
      <c r="T173" s="39"/>
      <c r="U173" s="39" t="s">
        <v>400</v>
      </c>
      <c r="V173" s="39"/>
      <c r="W173" s="77"/>
      <c r="X173" s="77"/>
      <c r="Y173" s="39" t="s">
        <v>400</v>
      </c>
      <c r="Z173" s="39"/>
      <c r="AA173" s="77"/>
      <c r="AB173" s="311"/>
      <c r="AC173" s="301">
        <f t="shared" si="9"/>
        <v>0</v>
      </c>
      <c r="AE173" s="40"/>
    </row>
    <row r="174" spans="1:31" x14ac:dyDescent="0.25">
      <c r="A174" s="36" t="s">
        <v>401</v>
      </c>
      <c r="B174" s="36"/>
      <c r="C174" s="68">
        <f>C71</f>
        <v>13443125</v>
      </c>
      <c r="E174" s="37" t="s">
        <v>402</v>
      </c>
      <c r="F174" s="37"/>
      <c r="G174" s="84">
        <f>G92</f>
        <v>981250</v>
      </c>
      <c r="I174" s="38"/>
      <c r="J174" s="38"/>
      <c r="K174" s="76">
        <f>K77</f>
        <v>2943750</v>
      </c>
      <c r="L174" s="76"/>
      <c r="N174" s="38"/>
      <c r="O174" s="38"/>
      <c r="P174" s="76">
        <f>P77</f>
        <v>0</v>
      </c>
      <c r="Q174" s="311">
        <v>2943750</v>
      </c>
      <c r="R174" s="301">
        <f t="shared" si="8"/>
        <v>-2943750</v>
      </c>
      <c r="T174" s="39"/>
      <c r="U174" s="39"/>
      <c r="V174" s="39"/>
      <c r="W174" s="77">
        <v>0</v>
      </c>
      <c r="X174" s="77"/>
      <c r="Y174" s="39"/>
      <c r="Z174" s="39"/>
      <c r="AA174" s="77">
        <f>AA80</f>
        <v>2943750</v>
      </c>
      <c r="AB174" s="311">
        <v>0</v>
      </c>
      <c r="AC174" s="301">
        <f t="shared" si="9"/>
        <v>2943750</v>
      </c>
      <c r="AE174" s="121">
        <f>SUM(C174,G174,P174,AA174)</f>
        <v>17368125</v>
      </c>
    </row>
    <row r="175" spans="1:31" x14ac:dyDescent="0.25">
      <c r="A175" s="36"/>
      <c r="B175" s="36"/>
      <c r="C175" s="36"/>
      <c r="E175" s="37"/>
      <c r="F175" s="37"/>
      <c r="G175" s="37"/>
      <c r="I175" s="38"/>
      <c r="J175" s="38"/>
      <c r="K175" s="38"/>
      <c r="L175" s="38"/>
      <c r="N175" s="38"/>
      <c r="O175" s="38"/>
      <c r="P175" s="38"/>
      <c r="R175" s="301">
        <f t="shared" si="8"/>
        <v>0</v>
      </c>
      <c r="T175" s="39"/>
      <c r="U175" s="39"/>
      <c r="V175" s="39"/>
      <c r="W175" s="39"/>
      <c r="X175" s="39"/>
      <c r="Y175" s="39"/>
      <c r="Z175" s="39"/>
      <c r="AA175" s="39"/>
      <c r="AC175" s="301">
        <f t="shared" si="9"/>
        <v>0</v>
      </c>
      <c r="AE175" s="40"/>
    </row>
    <row r="176" spans="1:31" x14ac:dyDescent="0.25">
      <c r="A176" s="36"/>
      <c r="B176" s="36"/>
      <c r="C176" s="36"/>
      <c r="E176" s="37"/>
      <c r="F176" s="37"/>
      <c r="G176" s="37"/>
      <c r="I176" s="38"/>
      <c r="J176" s="38"/>
      <c r="K176" s="38"/>
      <c r="L176" s="38"/>
      <c r="N176" s="38"/>
      <c r="O176" s="38"/>
      <c r="P176" s="38"/>
      <c r="R176" s="301">
        <f t="shared" si="8"/>
        <v>0</v>
      </c>
      <c r="T176" s="39"/>
      <c r="U176" s="39"/>
      <c r="V176" s="39"/>
      <c r="W176" s="39"/>
      <c r="X176" s="39"/>
      <c r="Y176" s="39"/>
      <c r="Z176" s="39"/>
      <c r="AA176" s="39"/>
      <c r="AC176" s="301">
        <f t="shared" si="9"/>
        <v>0</v>
      </c>
      <c r="AE176" s="40"/>
    </row>
    <row r="177" spans="1:31" x14ac:dyDescent="0.25">
      <c r="A177" s="113" t="s">
        <v>403</v>
      </c>
      <c r="B177" s="85"/>
      <c r="C177" s="114">
        <f>SUM(C162:C174)</f>
        <v>17306758.437632002</v>
      </c>
      <c r="E177" s="115"/>
      <c r="F177" s="115"/>
      <c r="G177" s="116">
        <f>SUM(G162:G174)</f>
        <v>5590344.5073920004</v>
      </c>
      <c r="I177" s="117"/>
      <c r="J177" s="117"/>
      <c r="K177" s="118">
        <f>SUM(K162:K174)</f>
        <v>17890212.338419996</v>
      </c>
      <c r="L177" s="118"/>
      <c r="N177" s="117"/>
      <c r="O177" s="117"/>
      <c r="P177" s="118">
        <f>SUM(P162:P174)</f>
        <v>7875147.2088326663</v>
      </c>
      <c r="Q177" s="316">
        <v>16248601.281132</v>
      </c>
      <c r="R177" s="301">
        <f t="shared" si="8"/>
        <v>-8373454.0722993333</v>
      </c>
      <c r="T177" s="119"/>
      <c r="U177" s="119"/>
      <c r="V177" s="119"/>
      <c r="W177" s="120">
        <f>SUM(W162:W174)</f>
        <v>10863428.304862998</v>
      </c>
      <c r="X177" s="120"/>
      <c r="Y177" s="119"/>
      <c r="Z177" s="119"/>
      <c r="AA177" s="120">
        <f>SUM(AA162:AA174)</f>
        <v>11713840.619358834</v>
      </c>
      <c r="AB177" s="316">
        <v>13192583.698367</v>
      </c>
      <c r="AC177" s="301">
        <f t="shared" si="9"/>
        <v>-1478743.0790081657</v>
      </c>
      <c r="AE177" s="121">
        <f>SUM(C177,G177,P177,AA177)</f>
        <v>42486090.773215503</v>
      </c>
    </row>
    <row r="178" spans="1:31" x14ac:dyDescent="0.25">
      <c r="A178" s="36"/>
      <c r="B178" s="36"/>
      <c r="C178" s="36"/>
      <c r="E178" s="37"/>
      <c r="F178" s="37"/>
      <c r="G178" s="37"/>
      <c r="I178" s="38"/>
      <c r="J178" s="38"/>
      <c r="K178" s="38"/>
      <c r="L178" s="38"/>
      <c r="N178" s="38"/>
      <c r="O178" s="38"/>
      <c r="P178" s="38"/>
      <c r="R178" s="301">
        <f t="shared" si="8"/>
        <v>0</v>
      </c>
      <c r="T178" s="39"/>
      <c r="U178" s="39"/>
      <c r="V178" s="39"/>
      <c r="W178" s="39"/>
      <c r="X178" s="39"/>
      <c r="Y178" s="39"/>
      <c r="Z178" s="39"/>
      <c r="AA178" s="39"/>
      <c r="AC178" s="301">
        <f t="shared" si="9"/>
        <v>0</v>
      </c>
      <c r="AE178" s="40"/>
    </row>
    <row r="179" spans="1:31" x14ac:dyDescent="0.25">
      <c r="A179" s="113" t="s">
        <v>404</v>
      </c>
      <c r="B179" s="85"/>
      <c r="C179" s="114">
        <f>SUM(C159,C177)</f>
        <v>24901797.973632</v>
      </c>
      <c r="E179" s="115"/>
      <c r="F179" s="115"/>
      <c r="G179" s="116">
        <f>SUM(G159,G177)</f>
        <v>42678868.987392008</v>
      </c>
      <c r="I179" s="117"/>
      <c r="J179" s="117"/>
      <c r="K179" s="118">
        <f>SUM(K159,K177)</f>
        <v>79391064.499420002</v>
      </c>
      <c r="L179" s="118"/>
      <c r="N179" s="117"/>
      <c r="O179" s="117"/>
      <c r="P179" s="118">
        <f>SUM(P159,P177)</f>
        <v>69017676.699832678</v>
      </c>
      <c r="Q179" s="316">
        <v>98801567.742131993</v>
      </c>
      <c r="R179" s="301">
        <f t="shared" si="8"/>
        <v>-29783891.042299315</v>
      </c>
      <c r="T179" s="119"/>
      <c r="U179" s="119"/>
      <c r="V179" s="119"/>
      <c r="W179" s="120">
        <f>SUM(W159,W177)</f>
        <v>120479312.31286299</v>
      </c>
      <c r="X179" s="120"/>
      <c r="Y179" s="119"/>
      <c r="Z179" s="119"/>
      <c r="AA179" s="120">
        <f>SUM(AA159,AA177)</f>
        <v>93974046.668358833</v>
      </c>
      <c r="AB179" s="316">
        <v>104972058.17836699</v>
      </c>
      <c r="AC179" s="301">
        <f t="shared" si="9"/>
        <v>-10998011.510008156</v>
      </c>
      <c r="AE179" s="121">
        <f>SUM(C179,G179,P179,AA179)</f>
        <v>230572390.32921553</v>
      </c>
    </row>
    <row r="182" spans="1:31" x14ac:dyDescent="0.25">
      <c r="A182" s="33" t="s">
        <v>493</v>
      </c>
      <c r="C182" s="157">
        <f>C179 + G179+P179+AA179</f>
        <v>230572390.32921553</v>
      </c>
    </row>
    <row r="183" spans="1:31" x14ac:dyDescent="0.25">
      <c r="C183" s="168">
        <f>C182/250</f>
        <v>922289.56131686212</v>
      </c>
    </row>
  </sheetData>
  <mergeCells count="12">
    <mergeCell ref="A1:C1"/>
    <mergeCell ref="E1:G1"/>
    <mergeCell ref="N1:P1"/>
    <mergeCell ref="Y1:AA1"/>
    <mergeCell ref="A2:C2"/>
    <mergeCell ref="E2:G2"/>
    <mergeCell ref="N2:P2"/>
    <mergeCell ref="Y2:AA2"/>
    <mergeCell ref="I1:K1"/>
    <mergeCell ref="I2:K2"/>
    <mergeCell ref="U1:W1"/>
    <mergeCell ref="U2:W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me</vt:lpstr>
      <vt:lpstr>Max phone - no sibs</vt:lpstr>
      <vt:lpstr>Parameters</vt:lpstr>
      <vt:lpstr>F2F with sibs</vt:lpstr>
      <vt:lpstr>Cases &amp; costs over time</vt:lpstr>
      <vt:lpstr>Recruitment</vt:lpstr>
      <vt:lpstr>Duncan fertility</vt:lpstr>
      <vt:lpstr>Fun Fertility Facts</vt:lpstr>
      <vt:lpstr>NCS Recruitment 250 hosp 5 prov</vt:lpstr>
      <vt:lpstr>Recruitment Travel</vt:lpstr>
      <vt:lpstr>Cost year 1-7 what-if</vt:lpstr>
    </vt:vector>
  </TitlesOfParts>
  <Company>The Ohio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Olsen</dc:creator>
  <cp:lastModifiedBy>ITS</cp:lastModifiedBy>
  <cp:lastPrinted>2013-10-29T19:04:51Z</cp:lastPrinted>
  <dcterms:created xsi:type="dcterms:W3CDTF">2013-10-11T15:26:20Z</dcterms:created>
  <dcterms:modified xsi:type="dcterms:W3CDTF">2014-08-07T15:45:56Z</dcterms:modified>
</cp:coreProperties>
</file>